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EstaPastaDeTrabalho" defaultThemeVersion="124226"/>
  <bookViews>
    <workbookView showSheetTabs="0" xWindow="14295" yWindow="0" windowWidth="14610" windowHeight="11760"/>
  </bookViews>
  <sheets>
    <sheet name="Formulário Cadastro" sheetId="11" r:id="rId1"/>
    <sheet name="Formulário Preenchido" sheetId="9" r:id="rId2"/>
    <sheet name="Formulário Impressão" sheetId="12" r:id="rId3"/>
    <sheet name="Calculadora Geográfica" sheetId="13" r:id="rId4"/>
    <sheet name="Obtenção UPGRH" sheetId="14" r:id="rId5"/>
    <sheet name="Classificação" sheetId="15" r:id="rId6"/>
    <sheet name="Seleção" sheetId="7" r:id="rId7"/>
  </sheets>
  <externalReferences>
    <externalReference r:id="rId8"/>
  </externalReferences>
  <definedNames>
    <definedName name="_xlnm.Print_Area" localSheetId="2">'Formulário Impressão'!$A$2:$F$114</definedName>
    <definedName name="_xlnm.Print_Titles" localSheetId="2">'Formulário Impressão'!$2:$5</definedName>
  </definedNames>
  <calcPr calcId="145621"/>
</workbook>
</file>

<file path=xl/calcChain.xml><?xml version="1.0" encoding="utf-8"?>
<calcChain xmlns="http://schemas.openxmlformats.org/spreadsheetml/2006/main">
  <c r="D40" i="15" l="1"/>
  <c r="D55" i="12"/>
  <c r="D59" i="12"/>
  <c r="D57" i="12"/>
  <c r="D54" i="12"/>
  <c r="D53" i="12"/>
  <c r="D51" i="12"/>
  <c r="O79" i="11" l="1"/>
  <c r="D58" i="15" s="1" a="1"/>
  <c r="D58" i="15" s="1"/>
  <c r="F143" i="11" s="1"/>
  <c r="A114" i="9" l="1"/>
  <c r="D112" i="12" l="1"/>
  <c r="D111" i="12"/>
  <c r="D110" i="12"/>
  <c r="D109" i="12"/>
  <c r="A96" i="12"/>
  <c r="D94" i="12"/>
  <c r="D93" i="12"/>
  <c r="D92" i="12"/>
  <c r="D91" i="12" l="1"/>
  <c r="D90" i="12"/>
  <c r="D88" i="12" l="1"/>
  <c r="D87" i="12"/>
  <c r="D86" i="12"/>
  <c r="D85" i="12"/>
  <c r="D84" i="12"/>
  <c r="D81" i="12" l="1"/>
  <c r="D80" i="12"/>
  <c r="D79" i="12"/>
  <c r="D78" i="12"/>
  <c r="D77" i="12"/>
  <c r="D76" i="12"/>
  <c r="D75" i="12"/>
  <c r="D74" i="12"/>
  <c r="D73" i="12"/>
  <c r="D72" i="12"/>
  <c r="D70" i="12" l="1"/>
  <c r="D69" i="12"/>
  <c r="D68" i="12"/>
  <c r="D67" i="12"/>
  <c r="D66" i="12"/>
  <c r="D65" i="12"/>
  <c r="D63" i="12" l="1"/>
  <c r="D62" i="12"/>
  <c r="D61" i="12"/>
  <c r="D60" i="12"/>
  <c r="D58" i="12"/>
  <c r="D52" i="12"/>
  <c r="D50" i="12"/>
  <c r="D49" i="12"/>
  <c r="D48" i="12"/>
  <c r="D47" i="12"/>
  <c r="D46" i="12"/>
  <c r="D45" i="12"/>
  <c r="D44" i="12"/>
  <c r="D43" i="12"/>
  <c r="D42" i="12"/>
  <c r="D41" i="12"/>
  <c r="D40" i="12"/>
  <c r="D39" i="12"/>
  <c r="D38" i="12"/>
  <c r="D37" i="12"/>
  <c r="D36" i="12"/>
  <c r="D35" i="12"/>
  <c r="D34" i="12"/>
  <c r="D33" i="12"/>
  <c r="D32" i="12"/>
  <c r="D31" i="12"/>
  <c r="D29" i="12"/>
  <c r="D28" i="12"/>
  <c r="D27" i="12"/>
  <c r="D26" i="12"/>
  <c r="D25" i="12"/>
  <c r="D24" i="12"/>
  <c r="D23" i="12"/>
  <c r="D22" i="12"/>
  <c r="D21" i="12"/>
  <c r="D20" i="12"/>
  <c r="D19" i="12"/>
  <c r="D18" i="12"/>
  <c r="D16" i="12"/>
  <c r="D15" i="12"/>
  <c r="D14" i="12" l="1"/>
  <c r="D13" i="12" l="1"/>
  <c r="D12" i="12"/>
  <c r="D11" i="12"/>
  <c r="D9" i="12"/>
  <c r="D8" i="12"/>
  <c r="D7" i="12"/>
  <c r="D10" i="12"/>
  <c r="Q64" i="11" l="1"/>
  <c r="Q45" i="11"/>
  <c r="P125" i="11"/>
  <c r="Q125" i="11" s="1"/>
  <c r="P124" i="11"/>
  <c r="Q124" i="11" s="1"/>
  <c r="Q123" i="11"/>
  <c r="P122" i="11"/>
  <c r="Q122" i="11" s="1"/>
  <c r="P107" i="11"/>
  <c r="P106" i="11"/>
  <c r="Q106" i="11" s="1"/>
  <c r="P105" i="11"/>
  <c r="Q105" i="11" s="1"/>
  <c r="P104" i="11"/>
  <c r="Q104" i="11" s="1"/>
  <c r="P103" i="11"/>
  <c r="Q103" i="11" s="1"/>
  <c r="P101" i="11"/>
  <c r="Q101" i="11" s="1"/>
  <c r="P100" i="11"/>
  <c r="Q100" i="11" s="1"/>
  <c r="P99" i="11"/>
  <c r="Q99" i="11" s="1"/>
  <c r="P98" i="11"/>
  <c r="Q98" i="11" s="1"/>
  <c r="P97" i="11"/>
  <c r="Q97" i="11" s="1"/>
  <c r="P95" i="11"/>
  <c r="Q95" i="11" s="1"/>
  <c r="Q94" i="11"/>
  <c r="P93" i="11"/>
  <c r="Q93" i="11" s="1"/>
  <c r="Q92" i="11"/>
  <c r="P91" i="11"/>
  <c r="Q91" i="11" s="1"/>
  <c r="P90" i="11"/>
  <c r="Q90" i="11" s="1"/>
  <c r="P89" i="11"/>
  <c r="Q89" i="11" s="1"/>
  <c r="P88" i="11"/>
  <c r="Q88" i="11" s="1"/>
  <c r="P87" i="11"/>
  <c r="Q87" i="11" s="1"/>
  <c r="P86" i="11"/>
  <c r="Q86" i="11" s="1"/>
  <c r="P84" i="11"/>
  <c r="Q84" i="11" s="1"/>
  <c r="P83" i="11"/>
  <c r="Q83" i="11" s="1"/>
  <c r="P82" i="11"/>
  <c r="Q82" i="11" s="1"/>
  <c r="P81" i="11"/>
  <c r="Q81" i="11" s="1"/>
  <c r="P80" i="11"/>
  <c r="Q80" i="11" s="1"/>
  <c r="P79" i="11"/>
  <c r="Q79" i="11" s="1"/>
  <c r="P77" i="11"/>
  <c r="Q77" i="11" s="1"/>
  <c r="P76" i="11"/>
  <c r="Q76" i="11" s="1"/>
  <c r="P75" i="11"/>
  <c r="Q75" i="11" s="1"/>
  <c r="P74" i="11"/>
  <c r="Q74" i="11" s="1"/>
  <c r="P73" i="11"/>
  <c r="Q73" i="11" s="1"/>
  <c r="P72" i="11"/>
  <c r="Q72" i="11" s="1"/>
  <c r="P71" i="11"/>
  <c r="Q71" i="11" s="1"/>
  <c r="P70" i="11"/>
  <c r="Q70" i="11" s="1"/>
  <c r="P69" i="11"/>
  <c r="Q69" i="11" s="1"/>
  <c r="P68" i="11"/>
  <c r="Q68" i="11" s="1"/>
  <c r="P67" i="11"/>
  <c r="Q67" i="11" s="1"/>
  <c r="P66" i="11"/>
  <c r="Q66" i="11" s="1"/>
  <c r="P65" i="11"/>
  <c r="Q65" i="11" s="1"/>
  <c r="P63" i="11"/>
  <c r="Q63" i="11" s="1"/>
  <c r="P62" i="11"/>
  <c r="Q62" i="11" s="1"/>
  <c r="P61" i="11"/>
  <c r="Q61" i="11" s="1"/>
  <c r="P60" i="11"/>
  <c r="Q60" i="11" s="1"/>
  <c r="P59" i="11"/>
  <c r="P58" i="11"/>
  <c r="Q58" i="11" s="1"/>
  <c r="P57" i="11"/>
  <c r="Q57" i="11" s="1"/>
  <c r="P56" i="11"/>
  <c r="Q56" i="11" s="1"/>
  <c r="P53" i="11"/>
  <c r="P51" i="11"/>
  <c r="Q51" i="11" s="1"/>
  <c r="P48" i="11"/>
  <c r="Q48" i="11" s="1"/>
  <c r="P47" i="11"/>
  <c r="Q47" i="11" s="1"/>
  <c r="P46" i="11"/>
  <c r="Q46" i="11" s="1"/>
  <c r="P44" i="11"/>
  <c r="Q44" i="11" s="1"/>
  <c r="P43" i="11"/>
  <c r="Q43" i="11" s="1"/>
  <c r="P41" i="11"/>
  <c r="Q41" i="11" s="1"/>
  <c r="P40" i="11"/>
  <c r="Q40" i="11" s="1"/>
  <c r="P39" i="11"/>
  <c r="Q39" i="11" s="1"/>
  <c r="P38" i="11"/>
  <c r="Q38" i="11" s="1"/>
  <c r="P37" i="11"/>
  <c r="Q37" i="11" s="1"/>
  <c r="P36" i="11"/>
  <c r="Q36" i="11" s="1"/>
  <c r="P34" i="11"/>
  <c r="Q34" i="11" s="1"/>
  <c r="P33" i="11"/>
  <c r="Q33" i="11" s="1"/>
  <c r="Q32" i="11"/>
  <c r="Q31" i="11"/>
  <c r="P30" i="11"/>
  <c r="Q30" i="11" s="1"/>
  <c r="P28" i="11"/>
  <c r="Q28" i="11" s="1"/>
  <c r="P27" i="11"/>
  <c r="Q27" i="11" s="1"/>
  <c r="P23" i="11"/>
  <c r="Q23" i="11" s="1"/>
  <c r="P22" i="11"/>
  <c r="Q22" i="11" s="1"/>
  <c r="Q21" i="11"/>
  <c r="Q20" i="11"/>
  <c r="P19" i="11"/>
  <c r="Q19" i="11" s="1"/>
  <c r="Q127" i="11" l="1"/>
  <c r="P127" i="11"/>
  <c r="C129" i="11" s="1"/>
  <c r="P55" i="11"/>
  <c r="Q55" i="11" s="1"/>
  <c r="P49" i="11"/>
  <c r="Q49" i="11" s="1"/>
  <c r="P50" i="11"/>
  <c r="Q50" i="11" s="1"/>
  <c r="N72" i="11"/>
  <c r="C170" i="15" l="1"/>
  <c r="P131" i="11" l="1"/>
  <c r="C131" i="11" s="1"/>
  <c r="D157" i="15" l="1"/>
  <c r="D156" i="15"/>
  <c r="D155" i="15"/>
  <c r="D154" i="15"/>
  <c r="D153" i="15"/>
  <c r="D152" i="15"/>
  <c r="D151" i="15"/>
  <c r="D150" i="15"/>
  <c r="D149" i="15"/>
  <c r="O99" i="11"/>
  <c r="D127" i="15" s="1"/>
  <c r="O98" i="11"/>
  <c r="D122" i="15" s="1"/>
  <c r="O97" i="11"/>
  <c r="D118" i="15" s="1"/>
  <c r="O72" i="11"/>
  <c r="D113" i="15" s="1"/>
  <c r="D128" i="15" l="1"/>
  <c r="O91" i="11"/>
  <c r="D106" i="15" s="1"/>
  <c r="O90" i="11"/>
  <c r="D102" i="15" s="1"/>
  <c r="O89" i="11"/>
  <c r="D99" i="15" s="1"/>
  <c r="O88" i="11"/>
  <c r="D94" i="15" s="1"/>
  <c r="O87" i="11"/>
  <c r="D90" i="15" s="1"/>
  <c r="N77" i="11"/>
  <c r="O84" i="11"/>
  <c r="D83" i="15" s="1"/>
  <c r="F148" i="11" s="1"/>
  <c r="O83" i="11"/>
  <c r="D78" i="15" s="1"/>
  <c r="F147" i="11" s="1"/>
  <c r="O82" i="11"/>
  <c r="D73" i="15" s="1"/>
  <c r="F146" i="11" s="1"/>
  <c r="O81" i="11"/>
  <c r="D68" i="15" s="1"/>
  <c r="F145" i="11" s="1"/>
  <c r="O80" i="11"/>
  <c r="D63" i="15" s="1"/>
  <c r="F144" i="11" s="1"/>
  <c r="D107" i="15" l="1"/>
  <c r="F142" i="11" s="1"/>
  <c r="D84" i="15"/>
  <c r="F141" i="11" s="1"/>
  <c r="O77" i="11"/>
  <c r="O65" i="11" l="1"/>
  <c r="D51" i="15" s="1"/>
  <c r="N65" i="11"/>
  <c r="O76" i="11"/>
  <c r="D33" i="15" s="1"/>
  <c r="O74" i="11"/>
  <c r="D21" i="15" s="1"/>
  <c r="N68" i="11"/>
  <c r="N70" i="11"/>
  <c r="O68" i="11" l="1"/>
  <c r="C169" i="15"/>
  <c r="D141" i="15" l="1"/>
  <c r="D145" i="15" s="1"/>
  <c r="D133" i="15"/>
  <c r="H112" i="11" l="1"/>
  <c r="F99" i="12" s="1"/>
  <c r="C171" i="15"/>
  <c r="C172" i="15" s="1"/>
  <c r="O70" i="11"/>
  <c r="D9" i="15" s="1"/>
  <c r="D6" i="15"/>
  <c r="D52" i="15" l="1"/>
  <c r="C173" i="15"/>
  <c r="C115" i="11"/>
  <c r="A102" i="12" s="1"/>
  <c r="F140" i="11" l="1"/>
  <c r="D132" i="15"/>
  <c r="D108" i="15"/>
  <c r="D138" i="15" l="1"/>
  <c r="H111" i="11" s="1"/>
  <c r="F98" i="12" s="1"/>
  <c r="D158" i="15" l="1"/>
  <c r="E158" i="15" s="1"/>
  <c r="H113" i="11"/>
  <c r="F100" i="12" s="1"/>
  <c r="C120" i="11" l="1"/>
  <c r="A107" i="12" s="1"/>
</calcChain>
</file>

<file path=xl/sharedStrings.xml><?xml version="1.0" encoding="utf-8"?>
<sst xmlns="http://schemas.openxmlformats.org/spreadsheetml/2006/main" count="2190" uniqueCount="1470">
  <si>
    <t>IDENTIFICAÇÃO DO EMPREENDEDOR</t>
  </si>
  <si>
    <t>Razão social ou nome:</t>
  </si>
  <si>
    <t>Nome da estrutura / barragem:</t>
  </si>
  <si>
    <t>Bairro:</t>
  </si>
  <si>
    <t>Complemento:</t>
  </si>
  <si>
    <t>CEP:</t>
  </si>
  <si>
    <t>Município / UF:</t>
  </si>
  <si>
    <t xml:space="preserve">Telefone:  </t>
  </si>
  <si>
    <t>UPGRH:</t>
  </si>
  <si>
    <t xml:space="preserve">Previsão de término de operação: </t>
  </si>
  <si>
    <t>RESPONSÁVEL PELO PREENCHIMENTO DO FORMULÁRIO</t>
  </si>
  <si>
    <t>Tipo estrutural:</t>
  </si>
  <si>
    <t>Largura do coroamento (m):</t>
  </si>
  <si>
    <t>Número CNARH:</t>
  </si>
  <si>
    <t>Descrição</t>
  </si>
  <si>
    <t>Datum:</t>
  </si>
  <si>
    <t>SIRGAS 2000</t>
  </si>
  <si>
    <t>Tipo de fundação:</t>
  </si>
  <si>
    <t>Percolação:</t>
  </si>
  <si>
    <t>Regra operacional dos dispositivos de descarga da barragem:</t>
  </si>
  <si>
    <t>Deformações e recalques:</t>
  </si>
  <si>
    <t>Confiabilidade das estruturas extravasoras:</t>
  </si>
  <si>
    <t xml:space="preserve">Endereço </t>
  </si>
  <si>
    <t>Nome fantasia:</t>
  </si>
  <si>
    <t>UNIÃO</t>
  </si>
  <si>
    <t>ESTADO</t>
  </si>
  <si>
    <t>REGULARIZAÇÃO DO BARRAGEM</t>
  </si>
  <si>
    <t>CARACTERIZAÇÃO DA ESTRUTURA HIDRÁULICA/INFORMAÇÕES TÉCNICAS DA BARRAGEM</t>
  </si>
  <si>
    <t>MILENAR</t>
  </si>
  <si>
    <r>
      <t xml:space="preserve">ALTURA </t>
    </r>
    <r>
      <rPr>
        <sz val="11"/>
        <color theme="1"/>
        <rFont val="Calibri"/>
        <family val="2"/>
      </rPr>
      <t>≤ 15m</t>
    </r>
  </si>
  <si>
    <r>
      <t xml:space="preserve">15m  </t>
    </r>
    <r>
      <rPr>
        <sz val="11"/>
        <color theme="1"/>
        <rFont val="Calibri"/>
        <family val="2"/>
      </rPr>
      <t>&lt; ALTURA &lt; 30m</t>
    </r>
  </si>
  <si>
    <t>30m ≤ ALTURA ≤ 60m</t>
  </si>
  <si>
    <t>ALTURA &gt; 60m</t>
  </si>
  <si>
    <t>TR = 500 ANOS</t>
  </si>
  <si>
    <t>COMPRIMENTO &gt; 200m</t>
  </si>
  <si>
    <r>
      <t xml:space="preserve">COMPRIMENTO </t>
    </r>
    <r>
      <rPr>
        <sz val="11"/>
        <color theme="1"/>
        <rFont val="Calibri"/>
        <family val="2"/>
      </rPr>
      <t>≤</t>
    </r>
    <r>
      <rPr>
        <sz val="11"/>
        <color theme="1"/>
        <rFont val="Calibri"/>
        <family val="2"/>
        <scheme val="minor"/>
      </rPr>
      <t xml:space="preserve"> 200m</t>
    </r>
  </si>
  <si>
    <t>CONCRETO CONVENCIONAL</t>
  </si>
  <si>
    <t>ALVENARIA DE PEDRA</t>
  </si>
  <si>
    <t>CONCRETO CICLÓPICO</t>
  </si>
  <si>
    <t>TERRA HOMOGÊNEA</t>
  </si>
  <si>
    <t>ENROCAMENTO</t>
  </si>
  <si>
    <t>TERRA ENROCAMENTO</t>
  </si>
  <si>
    <t>ROCHA SÃ</t>
  </si>
  <si>
    <t xml:space="preserve">ROCHA ALTERADA DURA COM TRATAMENTO </t>
  </si>
  <si>
    <t xml:space="preserve">ROCHA ALTERADA SEM TRATAMENTO </t>
  </si>
  <si>
    <t xml:space="preserve">ROCHA ALTERADA FRATURADA COM TRATAMENTO </t>
  </si>
  <si>
    <t xml:space="preserve">ROCHA ALTERADA MOLE </t>
  </si>
  <si>
    <t>SAPROLITO</t>
  </si>
  <si>
    <t>SOLO COMPACTO</t>
  </si>
  <si>
    <t>SOLO RESIDUAL</t>
  </si>
  <si>
    <t>ALUVIÃO</t>
  </si>
  <si>
    <t>BACIA HIDROGRÁFICA DO RIO DOCE</t>
  </si>
  <si>
    <t>BACIA HIDROGRÁFICA DO RIO GRANDE</t>
  </si>
  <si>
    <t>BACIA HIDROGRÁFICA DO RIO JEQUITINHONHA</t>
  </si>
  <si>
    <t>BACIA HIDROGRÁFICA DO RIO PARANAÍBA</t>
  </si>
  <si>
    <t>BACIA HIDROGRÁFICA DO RIO PARAÍBA DO SUL</t>
  </si>
  <si>
    <t>BACIA HIDROGRÁFICA DO RIO PARDO</t>
  </si>
  <si>
    <t>BACIA HIDROGRÁFICA DOS RIOS PIRACICABA E JAGUARI</t>
  </si>
  <si>
    <t>BACIA HIDROGRÁFICA DO RIO SÃO FRANCISCO</t>
  </si>
  <si>
    <t xml:space="preserve">BACIA HIDROGRÁFICA DO RIO MUCURÍ </t>
  </si>
  <si>
    <t xml:space="preserve">BACIA HIDROGRÁFICA DO RIO SÃO MATEUS </t>
  </si>
  <si>
    <t xml:space="preserve">BACIA HIDROGRÁFICA DO RIO ALCOBAÇA OU ITANHÉM </t>
  </si>
  <si>
    <t xml:space="preserve">BACIA HIDROGRÁFICA DO RIO BURANHÉM </t>
  </si>
  <si>
    <t xml:space="preserve">BACIA HIDROGRÁFICA DO RIO ITABAPOANA </t>
  </si>
  <si>
    <t>BACIA HIDROGRÁFICA DO RIO ITAPEMIRIM</t>
  </si>
  <si>
    <t xml:space="preserve">BACIA HIDROGRÁFICA DO RIO ITAÚNAS </t>
  </si>
  <si>
    <t xml:space="preserve">BACIA HIDROGRÁFICA DO RIO JUCURUÇU </t>
  </si>
  <si>
    <t xml:space="preserve">BACIA HIDROGRÁFICA DO RIO PERUÍPE </t>
  </si>
  <si>
    <t>ABADIA DOS DOURADOS/MG</t>
  </si>
  <si>
    <t>ABAETÉ/MG</t>
  </si>
  <si>
    <t>ABRE CAMPO/MG</t>
  </si>
  <si>
    <t>ACAIACA/MG</t>
  </si>
  <si>
    <t>AÇUCENA/MG</t>
  </si>
  <si>
    <t>ÁGUA BOA/MG</t>
  </si>
  <si>
    <t>ÁGUA COMPRIDA/MG</t>
  </si>
  <si>
    <t>AGUANIL/MG</t>
  </si>
  <si>
    <t>ÁGUAS FORMOSAS/MG</t>
  </si>
  <si>
    <t>ÁGUAS VERMELHAS/MG</t>
  </si>
  <si>
    <t>AIMORÉS/MG</t>
  </si>
  <si>
    <t>AIURUOCA/MG</t>
  </si>
  <si>
    <t>ALAGOA/MG</t>
  </si>
  <si>
    <t>ALBERTINA/MG</t>
  </si>
  <si>
    <t>ALÉM PARAÍBA/MG</t>
  </si>
  <si>
    <t>ALFENAS/MG</t>
  </si>
  <si>
    <t>ALFREDO VASCONCELOS/MG</t>
  </si>
  <si>
    <t>ALMENARA/MG</t>
  </si>
  <si>
    <t>ALPERCATA/MG</t>
  </si>
  <si>
    <t>ALPINÓPOLIS/MG</t>
  </si>
  <si>
    <t>ALTEROSA/MG</t>
  </si>
  <si>
    <t>ALTO CAPARAÓ/MG</t>
  </si>
  <si>
    <t>ALTO JEQUITIBÁ/MG</t>
  </si>
  <si>
    <t>ALTO RIO DOCE/MG</t>
  </si>
  <si>
    <t>ALVARENGA/MG</t>
  </si>
  <si>
    <t>ALVINÓPOLIS/MG</t>
  </si>
  <si>
    <t>ALVORADA DE MINAS/MG</t>
  </si>
  <si>
    <t>AMPARO DO SERRA/MG</t>
  </si>
  <si>
    <t>ANDRADAS/MG</t>
  </si>
  <si>
    <t>ANDRELÂNDIA/MG</t>
  </si>
  <si>
    <t>ANGELÂNDIA/MG</t>
  </si>
  <si>
    <t>ANTÔNIO CARLOS/MG</t>
  </si>
  <si>
    <t>ANTÔNIO DIAS/MG</t>
  </si>
  <si>
    <t>ANTÔNIO PRADO DE MINAS/MG</t>
  </si>
  <si>
    <t>ARAÇAÍ/MG</t>
  </si>
  <si>
    <t>ARACITABA/MG</t>
  </si>
  <si>
    <t>ARAÇUAÍ/MG</t>
  </si>
  <si>
    <t>ARAGUARI/MG</t>
  </si>
  <si>
    <t>ARANTINA/MG</t>
  </si>
  <si>
    <t>ARAPONGA/MG</t>
  </si>
  <si>
    <t>ARAPORÃ/MG</t>
  </si>
  <si>
    <t>ARAPUÁ/MG</t>
  </si>
  <si>
    <t>ARAÚJOS/MG</t>
  </si>
  <si>
    <t>ARAXÁ/MG</t>
  </si>
  <si>
    <t>ARCEBURGO/MG</t>
  </si>
  <si>
    <t>ARCOS/MG</t>
  </si>
  <si>
    <t>AREADO/MG</t>
  </si>
  <si>
    <t>ARGIRITA/MG</t>
  </si>
  <si>
    <t>ARICANDUVA/MG</t>
  </si>
  <si>
    <t>ARINOS/MG</t>
  </si>
  <si>
    <t>ASTOLFO DUTRA/MG</t>
  </si>
  <si>
    <t>ATALÉIA/MG</t>
  </si>
  <si>
    <t>AUGUSTO DE LIMA/MG</t>
  </si>
  <si>
    <t>BAEPENDI/MG</t>
  </si>
  <si>
    <t>BALDIM/MG</t>
  </si>
  <si>
    <t>BAMBUÍ/MG</t>
  </si>
  <si>
    <t>BANDEIRA/MG</t>
  </si>
  <si>
    <t>BANDEIRA DO SUL/MG</t>
  </si>
  <si>
    <t>BARÃO DE COCAIS/MG</t>
  </si>
  <si>
    <t>BARÃO DE MONTE ALTO/MG</t>
  </si>
  <si>
    <t>BARBACENA/MG</t>
  </si>
  <si>
    <t>BARRA LONGA/MG</t>
  </si>
  <si>
    <t>BARROSO/MG</t>
  </si>
  <si>
    <t>BELA VISTA DE MINAS/MG</t>
  </si>
  <si>
    <t>BELMIRO BRAGA/MG</t>
  </si>
  <si>
    <t>BELO HORIZONTE/MG</t>
  </si>
  <si>
    <t>BELO ORIENTE/MG</t>
  </si>
  <si>
    <t>BELO VALE/MG</t>
  </si>
  <si>
    <t>BERILO/MG</t>
  </si>
  <si>
    <t>BERIZAL/MG</t>
  </si>
  <si>
    <t>BERTÓPOLIS/MG</t>
  </si>
  <si>
    <t>BETIM */MG</t>
  </si>
  <si>
    <t>BIAS FORTES/MG</t>
  </si>
  <si>
    <t>BICAS/MG</t>
  </si>
  <si>
    <t>BIQUINHAS/MG</t>
  </si>
  <si>
    <t>BOA ESPERANÇA/MG</t>
  </si>
  <si>
    <t>BOCAINA DE MINAS/MG</t>
  </si>
  <si>
    <t>BOCAIÚVA/MG</t>
  </si>
  <si>
    <t>BOM DESPACHO/MG</t>
  </si>
  <si>
    <t>BOM JARDIM DE MINAS/MG</t>
  </si>
  <si>
    <t>BOM JESUS DA PENHA/MG</t>
  </si>
  <si>
    <t>BOM JESUS DO AMPARO/MG</t>
  </si>
  <si>
    <t>BOM JESUS DO GALHO/MG</t>
  </si>
  <si>
    <t>BOM REPOUSO/MG</t>
  </si>
  <si>
    <t>BOM SUCESSO/MG</t>
  </si>
  <si>
    <t>BONFIM/MG</t>
  </si>
  <si>
    <t>BONFINÓPOLIS DE MINAS/MG</t>
  </si>
  <si>
    <t>BONITO DE MINAS/MG</t>
  </si>
  <si>
    <t>BORDA DA MATA/MG</t>
  </si>
  <si>
    <t>BOTELHOS/MG</t>
  </si>
  <si>
    <t>BOTUMIRIM/MG</t>
  </si>
  <si>
    <t>BRÁS PIRES/MG</t>
  </si>
  <si>
    <t>BRASILÂNDIA DE MINAS/MG</t>
  </si>
  <si>
    <t>BRASÍLIA DE MINAS/MG</t>
  </si>
  <si>
    <t>BRASÓPOLIS/MG</t>
  </si>
  <si>
    <t>BRAÚNAS/MG</t>
  </si>
  <si>
    <t>BRUMADINHO/MG</t>
  </si>
  <si>
    <t>BUENO BRANDÃO/MG</t>
  </si>
  <si>
    <t>BUENÓPOLIS/MG</t>
  </si>
  <si>
    <t>BUGRE/MG</t>
  </si>
  <si>
    <t>BURITIS/MG</t>
  </si>
  <si>
    <t>BURITIZEIRO/MG</t>
  </si>
  <si>
    <t>CABECEIRA GRANDE/MG</t>
  </si>
  <si>
    <t>CABO VERDE/MG</t>
  </si>
  <si>
    <t>CACHOEIRA DA PRATA/MG</t>
  </si>
  <si>
    <t>CACHOEIRA DE MINAS/MG</t>
  </si>
  <si>
    <t>CACHOEIRA DE PAJEÚ/MG</t>
  </si>
  <si>
    <t>CACHOEIRA DOURADA/MG</t>
  </si>
  <si>
    <t>CAETANÓPOLIS/MG</t>
  </si>
  <si>
    <t>CAETÉ/MG</t>
  </si>
  <si>
    <t>CAIANA/MG</t>
  </si>
  <si>
    <t>CAJURI/MG</t>
  </si>
  <si>
    <t>CALDAS/MG</t>
  </si>
  <si>
    <t>CAMACHO/MG</t>
  </si>
  <si>
    <t>CAMANDUCAIA/MG</t>
  </si>
  <si>
    <t>CAMBUÍ/MG</t>
  </si>
  <si>
    <t>CAMBUQUIRA/MG</t>
  </si>
  <si>
    <t>CAMPANÁRIO/MG</t>
  </si>
  <si>
    <t>CAMPANHA/MG</t>
  </si>
  <si>
    <t>CAMPESTRE/MG</t>
  </si>
  <si>
    <t>CAMPINA VERDE/MG</t>
  </si>
  <si>
    <t>CAMPO AZUL/MG</t>
  </si>
  <si>
    <t>CAMPO BELO/MG</t>
  </si>
  <si>
    <t>CAMPO DO MEIO/MG</t>
  </si>
  <si>
    <t>CAMPO FLORIDO/MG</t>
  </si>
  <si>
    <t>CAMPOS ALTOS/MG</t>
  </si>
  <si>
    <t>CAMPOS GERAIS/MG</t>
  </si>
  <si>
    <t>CANA VERDE/MG</t>
  </si>
  <si>
    <t>CANAÃ/MG</t>
  </si>
  <si>
    <t>CANÁPOLIS/MG</t>
  </si>
  <si>
    <t>CANDEIAS/MG</t>
  </si>
  <si>
    <t>CANTAGALO/MG</t>
  </si>
  <si>
    <t>CAPARAÓ/MG</t>
  </si>
  <si>
    <t>CAPELA NOVA/MG</t>
  </si>
  <si>
    <t>CAPELINHA/MG</t>
  </si>
  <si>
    <t>CAPETINGA/MG</t>
  </si>
  <si>
    <t>CAPIM BRANCO/MG</t>
  </si>
  <si>
    <t>CAPINÓPOLIS/MG</t>
  </si>
  <si>
    <t>CAPITÃO ANDRADE/MG</t>
  </si>
  <si>
    <t>CAPITÃO ENÉAS/MG</t>
  </si>
  <si>
    <t>CAPITÓLIO/MG</t>
  </si>
  <si>
    <t>CAPUTIRA/MG</t>
  </si>
  <si>
    <t>CARAÍ/MG</t>
  </si>
  <si>
    <t>CARANAÍBA/MG</t>
  </si>
  <si>
    <t>CARANDAÍ/MG</t>
  </si>
  <si>
    <t>CARANGOLA/MG</t>
  </si>
  <si>
    <t>CARATINGA/MG</t>
  </si>
  <si>
    <t>CARBONITA/MG</t>
  </si>
  <si>
    <t>CAREAÇU/MG</t>
  </si>
  <si>
    <t>CARLOS CHAGAS/MG</t>
  </si>
  <si>
    <t>CARMÉSIA/MG</t>
  </si>
  <si>
    <t>CARMO DA CACHOEIRA/MG</t>
  </si>
  <si>
    <t>CARMO DA MATA/MG</t>
  </si>
  <si>
    <t>CARMO DE MINAS/MG</t>
  </si>
  <si>
    <t>CARMO DO CAJURU/MG</t>
  </si>
  <si>
    <t>CARMO DO PARANAÍBA/MG</t>
  </si>
  <si>
    <t>CARMO DO RIO CLARO/MG</t>
  </si>
  <si>
    <t>CARMÓPOLIS DE MINAS/MG</t>
  </si>
  <si>
    <t>CARNEIRINHO/MG</t>
  </si>
  <si>
    <t>CARRANCAS/MG</t>
  </si>
  <si>
    <t>CARVALHÓPOLIS/MG</t>
  </si>
  <si>
    <t>CARVALHOS/MG</t>
  </si>
  <si>
    <t>CASA GRANDE/MG</t>
  </si>
  <si>
    <t>CASCALHO RICO/MG</t>
  </si>
  <si>
    <t>CÁSSIA/MG</t>
  </si>
  <si>
    <t>CATAGUASES/MG</t>
  </si>
  <si>
    <t>CATAS ALTAS/MG</t>
  </si>
  <si>
    <t>CATAS ALTAS DA NORUEGA/MG</t>
  </si>
  <si>
    <t>CATUJI/MG</t>
  </si>
  <si>
    <t>CATUTI/MG</t>
  </si>
  <si>
    <t>CAXAMBU/MG</t>
  </si>
  <si>
    <t>CEDRO DO ABAETÉ/MG</t>
  </si>
  <si>
    <t>CENTRAL DE MINAS/MG</t>
  </si>
  <si>
    <t>CENTRALINA/MG</t>
  </si>
  <si>
    <t>CHÁCARA/MG</t>
  </si>
  <si>
    <t>CHALÉ/MG</t>
  </si>
  <si>
    <t>CHAPADA DO NORTE/MG</t>
  </si>
  <si>
    <t>CHAPADA GAÚCHA/MG</t>
  </si>
  <si>
    <t>CHIADOR/MG</t>
  </si>
  <si>
    <t>CIPOTÂNEA/MG</t>
  </si>
  <si>
    <t>CLARAVAL/MG</t>
  </si>
  <si>
    <t>CLARO DOS POÇÕES/MG</t>
  </si>
  <si>
    <t>CLÁUDIO/MG</t>
  </si>
  <si>
    <t>COIMBRA/MG</t>
  </si>
  <si>
    <t>COLUNA/MG</t>
  </si>
  <si>
    <t>COMENDADOR GOMES/MG</t>
  </si>
  <si>
    <t>COMERCINHO/MG</t>
  </si>
  <si>
    <t>CONCEIÇÃO DA APARECIDA/MG</t>
  </si>
  <si>
    <t>CONCEIÇÃO DA BARRA DE MINAS/MG</t>
  </si>
  <si>
    <t>CONCEIÇÃO DAS ALAGOAS/MG</t>
  </si>
  <si>
    <t>CONCEIÇÃO DAS PEDRAS/MG</t>
  </si>
  <si>
    <t>CONCEIÇÃO DE IPANEMA/MG</t>
  </si>
  <si>
    <t>CONCEIÇÃO DO MATO DENTRO/MG</t>
  </si>
  <si>
    <t>CONCEIÇÃO DO PARÁ/MG</t>
  </si>
  <si>
    <t>CONCEIÇÃO DO RIO VERDE/MG</t>
  </si>
  <si>
    <t>CONCEIÇÃO DOS OUROS/MG</t>
  </si>
  <si>
    <t>CÔNEGO MARINHO/MG</t>
  </si>
  <si>
    <t>CONFINS/MG</t>
  </si>
  <si>
    <t>CONGONHAL/MG</t>
  </si>
  <si>
    <t>CONGONHAS/MG</t>
  </si>
  <si>
    <t>CONGONHAS DO NORTE/MG</t>
  </si>
  <si>
    <t>CONQUISTA/MG</t>
  </si>
  <si>
    <t>CONSELHEIRO LAFAIETE/MG</t>
  </si>
  <si>
    <t>CONSELHEIRO PENA/MG</t>
  </si>
  <si>
    <t>CONSOLAÇÃO/MG</t>
  </si>
  <si>
    <t>CONTAGEM/MG</t>
  </si>
  <si>
    <t>COQUEIRAL/MG</t>
  </si>
  <si>
    <t>CORAÇÃO DE JESUS/MG</t>
  </si>
  <si>
    <t>CORDISBURGO/MG</t>
  </si>
  <si>
    <t>CORDISLÂNDIA/MG</t>
  </si>
  <si>
    <t>CORINTO/MG</t>
  </si>
  <si>
    <t>COROACI/MG</t>
  </si>
  <si>
    <t>COROMANDEL/MG</t>
  </si>
  <si>
    <t>CORONEL FABRICIANO/MG</t>
  </si>
  <si>
    <t>CORONEL MURTA/MG</t>
  </si>
  <si>
    <t>CORONEL PACHECO/MG</t>
  </si>
  <si>
    <t>CORONEL XAVIER CHAVES/MG</t>
  </si>
  <si>
    <t>CÓRREGO DANTA/MG</t>
  </si>
  <si>
    <t>CÓRREGO DO BOM JESUS/MG</t>
  </si>
  <si>
    <t>CÓRREGO FUNDO/MG</t>
  </si>
  <si>
    <t>CÓRREGO NOVO/MG</t>
  </si>
  <si>
    <t>COUTO DE MAGALHÃES DE MINAS/MG</t>
  </si>
  <si>
    <t>CRISÓLITA/MG</t>
  </si>
  <si>
    <t>CRISTAIS/MG</t>
  </si>
  <si>
    <t>CRISTÁLIA/MG</t>
  </si>
  <si>
    <t>CRISTIANO OTONI/MG</t>
  </si>
  <si>
    <t>CRISTINA/MG</t>
  </si>
  <si>
    <t>CRUCILÂNDIA/MG</t>
  </si>
  <si>
    <t>CRUZEIRO DA FORTALEZA/MG</t>
  </si>
  <si>
    <t>CRUZÍLIA/MG</t>
  </si>
  <si>
    <t>CUPARAQUE/MG</t>
  </si>
  <si>
    <t>CURRAL DE DENTRO/MG</t>
  </si>
  <si>
    <t>CURVELO/MG</t>
  </si>
  <si>
    <t>DATAS/MG</t>
  </si>
  <si>
    <t>DELFIM MOREIRA/MG</t>
  </si>
  <si>
    <t>DELFINÓPOLIS/MG</t>
  </si>
  <si>
    <t>DELTA/MG</t>
  </si>
  <si>
    <t>DESCOBERTO/MG</t>
  </si>
  <si>
    <t>DESTERRO DE ENTRE RIOS/MG</t>
  </si>
  <si>
    <t>DESTERRO DO MELO/MG</t>
  </si>
  <si>
    <t>DIAMANTINA/MG</t>
  </si>
  <si>
    <t>DIOGO DE VASCONCELOS/MG</t>
  </si>
  <si>
    <t>DIONÍSIO/MG</t>
  </si>
  <si>
    <t>DIVINÉSIA/MG</t>
  </si>
  <si>
    <t>DIVINO/MG</t>
  </si>
  <si>
    <t>DIVINO DAS LARANJEIRAS/MG</t>
  </si>
  <si>
    <t>DIVINOLÂNDIA DE MINAS/MG</t>
  </si>
  <si>
    <t>DIVINÓPOLIS/MG</t>
  </si>
  <si>
    <t>DIVISA ALEGRE/MG</t>
  </si>
  <si>
    <t>DIVISA NOVA/MG</t>
  </si>
  <si>
    <t>DIVISÓPOLIS/MG</t>
  </si>
  <si>
    <t>DOM BOSCO/MG</t>
  </si>
  <si>
    <t>DOM CAVATI/MG</t>
  </si>
  <si>
    <t>DOM JOAQUIM/MG</t>
  </si>
  <si>
    <t>DOM SILVÉRIO/MG</t>
  </si>
  <si>
    <t>DOM VIÇOSO/MG</t>
  </si>
  <si>
    <t>DONA EUSÉBIA/MG</t>
  </si>
  <si>
    <t>DORES DE CAMPOS/MG</t>
  </si>
  <si>
    <t>DORES DE GUANHÃES/MG</t>
  </si>
  <si>
    <t>DORES DO INDAIÁ/MG</t>
  </si>
  <si>
    <t>DORES DO TURVO/MG</t>
  </si>
  <si>
    <t>DORESÓPOLIS/MG</t>
  </si>
  <si>
    <t>DOURADOQUARA/MG</t>
  </si>
  <si>
    <t>DURANDÉ/MG</t>
  </si>
  <si>
    <t>ELÓI MENDES/MG</t>
  </si>
  <si>
    <t>ENGENHEIRO CALDAS/MG</t>
  </si>
  <si>
    <t>ENGENHEIRO NAVARRO/MG</t>
  </si>
  <si>
    <t>ENTRE FOLHAS/MG</t>
  </si>
  <si>
    <t>ENTRE RIOS DE MINAS/MG</t>
  </si>
  <si>
    <t>ERVÁLIA/MG</t>
  </si>
  <si>
    <t>ESMERALDAS/MG</t>
  </si>
  <si>
    <t>ESPERA FELIZ/MG</t>
  </si>
  <si>
    <t>ESPINOSA/MG</t>
  </si>
  <si>
    <t>ESPÍRITO SANTO DO DOURADO/MG</t>
  </si>
  <si>
    <t>ESTIVA/MG</t>
  </si>
  <si>
    <t>ESTRELA DALVA/MG</t>
  </si>
  <si>
    <t>ESTRELA DO INDAIÁ/MG</t>
  </si>
  <si>
    <t>ESTRELA DO SUL/MG</t>
  </si>
  <si>
    <t>EUGENÓPOLIS/MG</t>
  </si>
  <si>
    <t>EWBANK DA CÂMARA/MG</t>
  </si>
  <si>
    <t>EXTREMA/MG</t>
  </si>
  <si>
    <t>FAMA/MG</t>
  </si>
  <si>
    <t>FARIA LEMOS/MG</t>
  </si>
  <si>
    <t>FELÍCIO DOS SANTOS/MG</t>
  </si>
  <si>
    <t>FELISBURGO/MG</t>
  </si>
  <si>
    <t>FELIXLÂNDIA/MG</t>
  </si>
  <si>
    <t>FERNANDES TOURINHO/MG</t>
  </si>
  <si>
    <t>FERROS/MG</t>
  </si>
  <si>
    <t>FERVEDOURO/MG</t>
  </si>
  <si>
    <t>FLORESTAL/MG</t>
  </si>
  <si>
    <t>FORMIGA/MG</t>
  </si>
  <si>
    <t>FORMOSO/MG</t>
  </si>
  <si>
    <t>FORTALEZA DE MINAS/MG</t>
  </si>
  <si>
    <t>FORTUNA DE MINAS/MG</t>
  </si>
  <si>
    <t>FRANCISCO BADARÓ/MG</t>
  </si>
  <si>
    <t>FRANCISCO DUMONT/MG</t>
  </si>
  <si>
    <t>FRANCISCO SÁ/MG</t>
  </si>
  <si>
    <t>FRANCISCÓPOLIS/MG</t>
  </si>
  <si>
    <t>FREI GASPAR/MG</t>
  </si>
  <si>
    <t>FREI INOCÊNCIO/MG</t>
  </si>
  <si>
    <t>FREI LAGONEGRO/MG</t>
  </si>
  <si>
    <t>FRONTEIRA/MG</t>
  </si>
  <si>
    <t>FRONTEIRA DOS VALES/MG</t>
  </si>
  <si>
    <t>FRUTA DE LEITE/MG</t>
  </si>
  <si>
    <t>FRUTAL/MG</t>
  </si>
  <si>
    <t>FUNILÂNDIA/MG</t>
  </si>
  <si>
    <t>GALILÉIA/MG</t>
  </si>
  <si>
    <t>GAMELEIRAS/MG</t>
  </si>
  <si>
    <t>GLAUCILÂNDIA/MG</t>
  </si>
  <si>
    <t>GOIABEIRA/MG</t>
  </si>
  <si>
    <t>GOIANÁ/MG</t>
  </si>
  <si>
    <t>GONÇALVES/MG</t>
  </si>
  <si>
    <t>GONZAGA/MG</t>
  </si>
  <si>
    <t>GOUVEIA/MG</t>
  </si>
  <si>
    <t>GOVERNADOR VALADARES */MG</t>
  </si>
  <si>
    <t>GRÃO MOGOL/MG</t>
  </si>
  <si>
    <t>GRUPIARA/MG</t>
  </si>
  <si>
    <t>GUANHÃES/MG</t>
  </si>
  <si>
    <t>GUAPÉ/MG</t>
  </si>
  <si>
    <t>GUARACIABA/MG</t>
  </si>
  <si>
    <t>GUARACIAMA/MG</t>
  </si>
  <si>
    <t>GUARANÉSIA/MG</t>
  </si>
  <si>
    <t>GUARANI/MG</t>
  </si>
  <si>
    <t>GUARARÁ/MG</t>
  </si>
  <si>
    <t>GUARDA-MOR/MG</t>
  </si>
  <si>
    <t>GUAXUPÉ/MG</t>
  </si>
  <si>
    <t>GUIDOVAL/MG</t>
  </si>
  <si>
    <t>GUIMARÂNIA/MG</t>
  </si>
  <si>
    <t>GUIRICEMA/MG</t>
  </si>
  <si>
    <t>GURINHATÃ/MG</t>
  </si>
  <si>
    <t>HELIODORA/MG</t>
  </si>
  <si>
    <t>IAPU/MG</t>
  </si>
  <si>
    <t>IBERTIOGA/MG</t>
  </si>
  <si>
    <t>IBIÁ/MG</t>
  </si>
  <si>
    <t>IBIAÍ/MG</t>
  </si>
  <si>
    <t>IBIRACATU/MG</t>
  </si>
  <si>
    <t>IBIRACI/MG</t>
  </si>
  <si>
    <t>IBIRITÉ/MG</t>
  </si>
  <si>
    <t>IBITIÚRA DE MINAS/MG</t>
  </si>
  <si>
    <t>IBITURUNA/MG</t>
  </si>
  <si>
    <t>ICARAÍ DE MINAS/MG</t>
  </si>
  <si>
    <t>IGARAPÉ/MG</t>
  </si>
  <si>
    <t>IGARATINGA/MG</t>
  </si>
  <si>
    <t>IGUATAMA/MG</t>
  </si>
  <si>
    <t>IJACI/MG</t>
  </si>
  <si>
    <t>ILICÍNEA/MG</t>
  </si>
  <si>
    <t>IMBÉ DE MINAS/MG</t>
  </si>
  <si>
    <t>INCONFIDENTES/MG</t>
  </si>
  <si>
    <t>INDAIABIRA/MG</t>
  </si>
  <si>
    <t>INDIANÓPOLIS/MG</t>
  </si>
  <si>
    <t>INGAÍ/MG</t>
  </si>
  <si>
    <t>INHAPIM/MG</t>
  </si>
  <si>
    <t>INHAÚMA/MG</t>
  </si>
  <si>
    <t>INIMUTABA/MG</t>
  </si>
  <si>
    <t>IPABA/MG</t>
  </si>
  <si>
    <t>IPANEMA/MG</t>
  </si>
  <si>
    <t>IPATINGA */MG</t>
  </si>
  <si>
    <t>IPIAÇU/MG</t>
  </si>
  <si>
    <t>IPUIÚNA/MG</t>
  </si>
  <si>
    <t>IRAÍ DE MINAS/MG</t>
  </si>
  <si>
    <t>ITABIRA/MG</t>
  </si>
  <si>
    <t>ITABIRINHA/MG</t>
  </si>
  <si>
    <t>ITABIRITO/MG</t>
  </si>
  <si>
    <t>ITACAMBIRA/MG</t>
  </si>
  <si>
    <t>ITACARAMBI/MG</t>
  </si>
  <si>
    <t>ITAGUARA/MG</t>
  </si>
  <si>
    <t>ITAIPÉ/MG</t>
  </si>
  <si>
    <t>ITAJUBÁ/MG</t>
  </si>
  <si>
    <t>ITAMARANDIBA/MG</t>
  </si>
  <si>
    <t>ITAMARATI DE MINAS/MG</t>
  </si>
  <si>
    <t>ITAMBACURI/MG</t>
  </si>
  <si>
    <t>ITAMBÉ DO MATO DENTRO/MG</t>
  </si>
  <si>
    <t>ITAMOGI/MG</t>
  </si>
  <si>
    <t>ITAMONTE/MG</t>
  </si>
  <si>
    <t>ITANHANDU/MG</t>
  </si>
  <si>
    <t>ITANHOMI/MG</t>
  </si>
  <si>
    <t>ITAOBIM/MG</t>
  </si>
  <si>
    <t>ITAPAGIPE/MG</t>
  </si>
  <si>
    <t>ITAPECERICA/MG</t>
  </si>
  <si>
    <t>ITAPEVA/MG</t>
  </si>
  <si>
    <t>ITATIAIUÇU/MG</t>
  </si>
  <si>
    <t>ITAÚ DE MINAS/MG</t>
  </si>
  <si>
    <t>ITAÚNA/MG</t>
  </si>
  <si>
    <t>ITAVERAVA/MG</t>
  </si>
  <si>
    <t>ITINGA/MG</t>
  </si>
  <si>
    <t>ITUETA/MG</t>
  </si>
  <si>
    <t>ITUIUTABA/MG</t>
  </si>
  <si>
    <t>ITUMIRIM/MG</t>
  </si>
  <si>
    <t>ITURAMA/MG</t>
  </si>
  <si>
    <t>ITUTINGA/MG</t>
  </si>
  <si>
    <t>JABOTICATUBAS/MG</t>
  </si>
  <si>
    <t>JACINTO/MG</t>
  </si>
  <si>
    <t>JACUÍ/MG</t>
  </si>
  <si>
    <t>JACUTINGA/MG</t>
  </si>
  <si>
    <t>JAGUARAÇU/MG</t>
  </si>
  <si>
    <t>JAÍBA/MG</t>
  </si>
  <si>
    <t>JAMPRUCA/MG</t>
  </si>
  <si>
    <t>JANAÚBA/MG</t>
  </si>
  <si>
    <t>JANUÁRIA/MG</t>
  </si>
  <si>
    <t>JAPARAÍBA/MG</t>
  </si>
  <si>
    <t>JAPONVAR/MG</t>
  </si>
  <si>
    <t>JECEABA/MG</t>
  </si>
  <si>
    <t>JENIPAPO DE MINAS/MG</t>
  </si>
  <si>
    <t>JEQUERI/MG</t>
  </si>
  <si>
    <t>JEQUITAÍ/MG</t>
  </si>
  <si>
    <t>JEQUITIBÁ/MG</t>
  </si>
  <si>
    <t>JEQUITINHONHA/MG</t>
  </si>
  <si>
    <t>JESUÂNIA/MG</t>
  </si>
  <si>
    <t>JOAÍMA/MG</t>
  </si>
  <si>
    <t>JOANÉSIA/MG</t>
  </si>
  <si>
    <t>JOÃO MONLEVADE/MG</t>
  </si>
  <si>
    <t>JOÃO PINHEIRO/MG</t>
  </si>
  <si>
    <t>JOAQUIM FELÍCIO/MG</t>
  </si>
  <si>
    <t>JORDÂNIA/MG</t>
  </si>
  <si>
    <t>JOSÉ GONÇALVES DE MINAS/MG</t>
  </si>
  <si>
    <t>JOSÉ RAYDAN/MG</t>
  </si>
  <si>
    <t>JOSENÓPOLIS/MG</t>
  </si>
  <si>
    <t>JUATUBA/MG</t>
  </si>
  <si>
    <t>JUIZ DE FORA */MG</t>
  </si>
  <si>
    <t>JURAMENTO/MG</t>
  </si>
  <si>
    <t>JURUAIA/MG</t>
  </si>
  <si>
    <t>JUVENÍLIA/MG</t>
  </si>
  <si>
    <t>LADAINHA/MG</t>
  </si>
  <si>
    <t>LAGAMAR/MG</t>
  </si>
  <si>
    <t>LAGOA DA PRATA/MG</t>
  </si>
  <si>
    <t>LAGOA DOS PATOS/MG</t>
  </si>
  <si>
    <t>LAGOA DOURADA/MG</t>
  </si>
  <si>
    <t>LAGOA FORMOSA/MG</t>
  </si>
  <si>
    <t>LAGOA GRANDE/MG</t>
  </si>
  <si>
    <t>LAGOA SANTA/MG</t>
  </si>
  <si>
    <t>LAJINHA/MG</t>
  </si>
  <si>
    <t>LAMBARI/MG</t>
  </si>
  <si>
    <t>LAMIM/MG</t>
  </si>
  <si>
    <t>LARANJAL/MG</t>
  </si>
  <si>
    <t>LASSANCE/MG</t>
  </si>
  <si>
    <t>LAVRAS/MG</t>
  </si>
  <si>
    <t>LEANDRO FERREIRA/MG</t>
  </si>
  <si>
    <t>LEME DO PRADO/MG</t>
  </si>
  <si>
    <t>LEOPOLDINA/MG</t>
  </si>
  <si>
    <t>LIBERDADE/MG</t>
  </si>
  <si>
    <t>LIMA DUARTE/MG</t>
  </si>
  <si>
    <t>LIMEIRA DO OESTE/MG</t>
  </si>
  <si>
    <t>LONTRA/MG</t>
  </si>
  <si>
    <t>LUISBURGO/MG</t>
  </si>
  <si>
    <t>LUISLÂNDIA/MG</t>
  </si>
  <si>
    <t>LUMINÁRIAS/MG</t>
  </si>
  <si>
    <t>LUZ/MG</t>
  </si>
  <si>
    <t>MACHACALIS/MG</t>
  </si>
  <si>
    <t>MACHADO/MG</t>
  </si>
  <si>
    <t>MADRE DE DEUS DE MINAS/MG</t>
  </si>
  <si>
    <t>MALACACHETA/MG</t>
  </si>
  <si>
    <t>MAMONAS/MG</t>
  </si>
  <si>
    <t>MANGA/MG</t>
  </si>
  <si>
    <t>MANHUAÇU/MG</t>
  </si>
  <si>
    <t>MANHUMIRIM/MG</t>
  </si>
  <si>
    <t>MANTENA/MG</t>
  </si>
  <si>
    <t>MAR DE ESPANHA/MG</t>
  </si>
  <si>
    <t>MARAVILHAS/MG</t>
  </si>
  <si>
    <t>MARIA DA FÉ/MG</t>
  </si>
  <si>
    <t>MARIANA/MG</t>
  </si>
  <si>
    <t>MARILAC/MG</t>
  </si>
  <si>
    <t>MÁRIO CAMPOS/MG</t>
  </si>
  <si>
    <t>MARIPÁ DE MINAS/MG</t>
  </si>
  <si>
    <t>MARLIÉRIA/MG</t>
  </si>
  <si>
    <t>MARMELÓPOLIS/MG</t>
  </si>
  <si>
    <t>MARTINHO CAMPOS/MG</t>
  </si>
  <si>
    <t>MARTINS SOARES/MG</t>
  </si>
  <si>
    <t>MATA VERDE/MG</t>
  </si>
  <si>
    <t>MATERLÂNDIA/MG</t>
  </si>
  <si>
    <t>MATEUS LEME/MG</t>
  </si>
  <si>
    <t>MATHIAS LOBATO/MG</t>
  </si>
  <si>
    <t>MATIAS BARBOSA/MG</t>
  </si>
  <si>
    <t>MATIAS CARDOSO/MG</t>
  </si>
  <si>
    <t>MATIPÓ/MG</t>
  </si>
  <si>
    <t>MATO VERDE/MG</t>
  </si>
  <si>
    <t>MATOZINHOS/MG</t>
  </si>
  <si>
    <t>MATUTINA/MG</t>
  </si>
  <si>
    <t>MEDEIROS/MG</t>
  </si>
  <si>
    <t>MEDINA/MG</t>
  </si>
  <si>
    <t>MENDES PIMENTEL/MG</t>
  </si>
  <si>
    <t>MERCÊS/MG</t>
  </si>
  <si>
    <t>MESQUITA/MG</t>
  </si>
  <si>
    <t>MINAS NOVAS/MG</t>
  </si>
  <si>
    <t>MINDURI/MG</t>
  </si>
  <si>
    <t>MIRABELA/MG</t>
  </si>
  <si>
    <t>MIRADOURO/MG</t>
  </si>
  <si>
    <t>MIRAÍ/MG</t>
  </si>
  <si>
    <t>MIRAVÂNIA/MG</t>
  </si>
  <si>
    <t>MOEDA/MG</t>
  </si>
  <si>
    <t>MOEMA/MG</t>
  </si>
  <si>
    <t>MONJOLOS/MG</t>
  </si>
  <si>
    <t>MONSENHOR PAULO/MG</t>
  </si>
  <si>
    <t>MONTALVÂNIA/MG</t>
  </si>
  <si>
    <t>MONTE ALEGRE DE MINAS/MG</t>
  </si>
  <si>
    <t>MONTE AZUL/MG</t>
  </si>
  <si>
    <t>MONTE BELO/MG</t>
  </si>
  <si>
    <t>MONTE CARMELO/MG</t>
  </si>
  <si>
    <t>MONTE FORMOSO/MG</t>
  </si>
  <si>
    <t>MONTE SANTO DE MINAS/MG</t>
  </si>
  <si>
    <t>MONTE SIÃO/MG</t>
  </si>
  <si>
    <t>MONTES CLAROS */MG</t>
  </si>
  <si>
    <t>MONTEZUMA/MG</t>
  </si>
  <si>
    <t>MORADA NOVA DE MINAS/MG</t>
  </si>
  <si>
    <t>MORRO DA GARÇA/MG</t>
  </si>
  <si>
    <t>MORRO DO PILAR/MG</t>
  </si>
  <si>
    <t>MUNHOZ/MG</t>
  </si>
  <si>
    <t>MURIAÉ/MG</t>
  </si>
  <si>
    <t>MUTUM/MG</t>
  </si>
  <si>
    <t>MUZAMBINHO/MG</t>
  </si>
  <si>
    <t>NACIP RAYDAN/MG</t>
  </si>
  <si>
    <t>NANUQUE/MG</t>
  </si>
  <si>
    <t>NAQUE/MG</t>
  </si>
  <si>
    <t>NATALÂNDIA/MG</t>
  </si>
  <si>
    <t>NATÉRCIA/MG</t>
  </si>
  <si>
    <t>NAZARENO/MG</t>
  </si>
  <si>
    <t>NEPOMUCENO/MG</t>
  </si>
  <si>
    <t>NINHEIRA/MG</t>
  </si>
  <si>
    <t>NOVA BELÉM/MG</t>
  </si>
  <si>
    <t>NOVA ERA/MG</t>
  </si>
  <si>
    <t>NOVA LIMA/MG</t>
  </si>
  <si>
    <t>NOVA MÓDICA/MG</t>
  </si>
  <si>
    <t>NOVA PONTE/MG</t>
  </si>
  <si>
    <t>NOVA PORTEIRINHA/MG</t>
  </si>
  <si>
    <t>NOVA RESENDE/MG</t>
  </si>
  <si>
    <t>NOVA SERRANA/MG</t>
  </si>
  <si>
    <t>NOVA UNIÃO/MG</t>
  </si>
  <si>
    <t>NOVO CRUZEIRO/MG</t>
  </si>
  <si>
    <t>NOVO ORIENTE DE MINAS/MG</t>
  </si>
  <si>
    <t>NOVORIZONTE/MG</t>
  </si>
  <si>
    <t>OLARIA/MG</t>
  </si>
  <si>
    <t>OLHOS-D'ÁGUA/MG</t>
  </si>
  <si>
    <t>OLÍMPIO NORONHA/MG</t>
  </si>
  <si>
    <t>OLIVEIRA/MG</t>
  </si>
  <si>
    <t>OLIVEIRA FORTES/MG</t>
  </si>
  <si>
    <t>ONÇA DE PITANGUI/MG</t>
  </si>
  <si>
    <t>ORATÓRIOS/MG</t>
  </si>
  <si>
    <t>ORIZÂNIA/MG</t>
  </si>
  <si>
    <t>OURO BRANCO/MG</t>
  </si>
  <si>
    <t>OURO FINO/MG</t>
  </si>
  <si>
    <t>OURO PRETO/MG</t>
  </si>
  <si>
    <t>OURO VERDE DE MINAS/MG</t>
  </si>
  <si>
    <t>PADRE CARVALHO/MG</t>
  </si>
  <si>
    <t>PADRE PARAÍSO/MG</t>
  </si>
  <si>
    <t>PAI PEDRO/MG</t>
  </si>
  <si>
    <t>PAINEIRAS/MG</t>
  </si>
  <si>
    <t>PAINS/MG</t>
  </si>
  <si>
    <t>PAIVA/MG</t>
  </si>
  <si>
    <t>PALMA/MG</t>
  </si>
  <si>
    <t>PALMÓPOLIS/MG</t>
  </si>
  <si>
    <t>PAPAGAIOS/MG</t>
  </si>
  <si>
    <t>PARÁ DE MINAS/MG</t>
  </si>
  <si>
    <t>PARACATU/MG</t>
  </si>
  <si>
    <t>PARAGUAÇU/MG</t>
  </si>
  <si>
    <t>PARAISÓPOLIS/MG</t>
  </si>
  <si>
    <t>PARAOPEBA/MG</t>
  </si>
  <si>
    <t>PASSA QUATRO/MG</t>
  </si>
  <si>
    <t>PASSA TEMPO/MG</t>
  </si>
  <si>
    <t>PASSABÉM/MG</t>
  </si>
  <si>
    <t>PASSA-VINTE/MG</t>
  </si>
  <si>
    <t>PASSOS/MG</t>
  </si>
  <si>
    <t>PATIS/MG</t>
  </si>
  <si>
    <t>PATOS DE MINAS/MG</t>
  </si>
  <si>
    <t>PATROCÍNIO/MG</t>
  </si>
  <si>
    <t>PATROCÍNIO DO MURIAÉ/MG</t>
  </si>
  <si>
    <t>PAULA CÂNDIDO/MG</t>
  </si>
  <si>
    <t>PAULISTAS/MG</t>
  </si>
  <si>
    <t>PAVÃO/MG</t>
  </si>
  <si>
    <t>PEÇANHA/MG</t>
  </si>
  <si>
    <t>PEDRA AZUL/MG</t>
  </si>
  <si>
    <t>PEDRA BONITA/MG</t>
  </si>
  <si>
    <t>PEDRA DO ANTA/MG</t>
  </si>
  <si>
    <t>PEDRA DO INDAIÁ/MG</t>
  </si>
  <si>
    <t>PEDRA DOURADA/MG</t>
  </si>
  <si>
    <t>PEDRALVA/MG</t>
  </si>
  <si>
    <t>PEDRAS DE MARIA DA CRUZ/MG</t>
  </si>
  <si>
    <t>PEDRINÓPOLIS/MG</t>
  </si>
  <si>
    <t>PEDRO LEOPOLDO/MG</t>
  </si>
  <si>
    <t>PEDRO TEIXEIRA/MG</t>
  </si>
  <si>
    <t>PEQUERI/MG</t>
  </si>
  <si>
    <t>PEQUI/MG</t>
  </si>
  <si>
    <t>PERDIGÃO/MG</t>
  </si>
  <si>
    <t>PERDIZES/MG</t>
  </si>
  <si>
    <t>PERDÕES/MG</t>
  </si>
  <si>
    <t>PERIQUITO/MG</t>
  </si>
  <si>
    <t>PESCADOR/MG</t>
  </si>
  <si>
    <t>PIAU/MG</t>
  </si>
  <si>
    <t>PIEDADE DE CARATINGA/MG</t>
  </si>
  <si>
    <t>PIEDADE DE PONTE NOVA/MG</t>
  </si>
  <si>
    <t>PIEDADE DO RIO GRANDE/MG</t>
  </si>
  <si>
    <t>PIEDADE DOS GERAIS/MG</t>
  </si>
  <si>
    <t>PIMENTA/MG</t>
  </si>
  <si>
    <t>PINGO-D'ÁGUA/MG</t>
  </si>
  <si>
    <t>PINTÓPOLIS/MG</t>
  </si>
  <si>
    <t>PIRACEMA/MG</t>
  </si>
  <si>
    <t>PIRAJUBA/MG</t>
  </si>
  <si>
    <t>PIRANGA/MG</t>
  </si>
  <si>
    <t>PIRANGUÇU/MG</t>
  </si>
  <si>
    <t>PIRANGUINHO/MG</t>
  </si>
  <si>
    <t>PIRAPETINGA/MG</t>
  </si>
  <si>
    <t>PIRAPORA/MG</t>
  </si>
  <si>
    <t>PIRAÚBA/MG</t>
  </si>
  <si>
    <t>PITANGUI/MG</t>
  </si>
  <si>
    <t>PIUMHI/MG</t>
  </si>
  <si>
    <t>PLANURA/MG</t>
  </si>
  <si>
    <t>POÇO FUNDO/MG</t>
  </si>
  <si>
    <t>POÇOS DE CALDAS/MG</t>
  </si>
  <si>
    <t>POCRANE/MG</t>
  </si>
  <si>
    <t>POMPÉU/MG</t>
  </si>
  <si>
    <t>PONTE NOVA/MG</t>
  </si>
  <si>
    <t>PONTO CHIQUE/MG</t>
  </si>
  <si>
    <t>PONTO DOS VOLANTES/MG</t>
  </si>
  <si>
    <t>PORTEIRINHA/MG</t>
  </si>
  <si>
    <t>PORTO FIRME/MG</t>
  </si>
  <si>
    <t>POTÉ/MG</t>
  </si>
  <si>
    <t>POUSO ALEGRE/MG</t>
  </si>
  <si>
    <t>POUSO ALTO/MG</t>
  </si>
  <si>
    <t>PRADOS/MG</t>
  </si>
  <si>
    <t>PRATA/MG</t>
  </si>
  <si>
    <t>PRATÁPOLIS/MG</t>
  </si>
  <si>
    <t>PRATINHA/MG</t>
  </si>
  <si>
    <t>PRESIDENTE BERNARDES/MG</t>
  </si>
  <si>
    <t>PRESIDENTE JUSCELINO/MG</t>
  </si>
  <si>
    <t>PRESIDENTE KUBITSCHEK/MG</t>
  </si>
  <si>
    <t>PRESIDENTE OLEGÁRIO/MG</t>
  </si>
  <si>
    <t>PRUDENTE DE MORAIS/MG</t>
  </si>
  <si>
    <t>QUARTEL GERAL/MG</t>
  </si>
  <si>
    <t>QUELUZITO/MG</t>
  </si>
  <si>
    <t>RAPOSOS/MG</t>
  </si>
  <si>
    <t>RAUL SOARES/MG</t>
  </si>
  <si>
    <t>RECREIO/MG</t>
  </si>
  <si>
    <t>REDUTO/MG</t>
  </si>
  <si>
    <t>RESENDE COSTA/MG</t>
  </si>
  <si>
    <t>RESPLENDOR/MG</t>
  </si>
  <si>
    <t>RESSAQUINHA/MG</t>
  </si>
  <si>
    <t>RIACHINHO/MG</t>
  </si>
  <si>
    <t>RIACHO DOS MACHADOS/MG</t>
  </si>
  <si>
    <t>RIBEIRÃO DAS NEVES/MG</t>
  </si>
  <si>
    <t>RIBEIRÃO VERMELHO/MG</t>
  </si>
  <si>
    <t>RIO ACIMA/MG</t>
  </si>
  <si>
    <t>RIO CASCA/MG</t>
  </si>
  <si>
    <t>RIO DO PRADO/MG</t>
  </si>
  <si>
    <t>RIO DOCE/MG</t>
  </si>
  <si>
    <t>RIO ESPERA/MG</t>
  </si>
  <si>
    <t>RIO MANSO/MG</t>
  </si>
  <si>
    <t>RIO NOVO/MG</t>
  </si>
  <si>
    <t>RIO PARANAÍBA/MG</t>
  </si>
  <si>
    <t>RIO PARDO DE MINAS/MG</t>
  </si>
  <si>
    <t>RIO PIRACICABA/MG</t>
  </si>
  <si>
    <t>RIO POMBA/MG</t>
  </si>
  <si>
    <t>RIO PRETO/MG</t>
  </si>
  <si>
    <t>RIO VERMELHO/MG</t>
  </si>
  <si>
    <t>RITÁPOLIS/MG</t>
  </si>
  <si>
    <t>ROCHEDO DE MINAS/MG</t>
  </si>
  <si>
    <t>RODEIRO/MG</t>
  </si>
  <si>
    <t>ROMARIA/MG</t>
  </si>
  <si>
    <t>ROSÁRIO DA LIMEIRA/MG</t>
  </si>
  <si>
    <t>RUBELITA/MG</t>
  </si>
  <si>
    <t>RUBIM/MG</t>
  </si>
  <si>
    <t>SABARÁ/MG</t>
  </si>
  <si>
    <t>SABINÓPOLIS/MG</t>
  </si>
  <si>
    <t>SACRAMENTO/MG</t>
  </si>
  <si>
    <t>SALINAS/MG</t>
  </si>
  <si>
    <t>SALTO DA DIVISA/MG</t>
  </si>
  <si>
    <t>SANTA BÁRBARA/MG</t>
  </si>
  <si>
    <t>SANTA BÁRBARA DO LESTE/MG</t>
  </si>
  <si>
    <t>SANTA BÁRBARA DO MONTE VERDE/MG</t>
  </si>
  <si>
    <t>SANTA BÁRBARA DO TUGÚRIO/MG</t>
  </si>
  <si>
    <t>SANTA CRUZ DE MINAS/MG</t>
  </si>
  <si>
    <t>SANTA CRUZ DE SALINAS/MG</t>
  </si>
  <si>
    <t>SANTA CRUZ DO ESCALVADO/MG</t>
  </si>
  <si>
    <t>SANTA EFIGÊNIA DE MINAS/MG</t>
  </si>
  <si>
    <t>SANTA FÉ DE MINAS/MG</t>
  </si>
  <si>
    <t>SANTA HELENA DE MINAS/MG</t>
  </si>
  <si>
    <t>SANTA JULIANA/MG</t>
  </si>
  <si>
    <t>SANTA LUZIA/MG</t>
  </si>
  <si>
    <t>SANTA MARGARIDA/MG</t>
  </si>
  <si>
    <t>SANTA MARIA DE ITABIRA/MG</t>
  </si>
  <si>
    <t>SANTA MARIA DO SALTO/MG</t>
  </si>
  <si>
    <t>SANTA MARIA DO SUAÇUÍ/MG</t>
  </si>
  <si>
    <t>SANTA RITA DE CALDAS/MG</t>
  </si>
  <si>
    <t>SANTA RITA DE IBITIPOCA/MG</t>
  </si>
  <si>
    <t>SANTA RITA DE JACUTINGA/MG</t>
  </si>
  <si>
    <t>SANTA RITA DE MINAS/MG</t>
  </si>
  <si>
    <t>SANTA RITA DO ITUETO/MG</t>
  </si>
  <si>
    <t>SANTA RITA DO SAPUCAÍ/MG</t>
  </si>
  <si>
    <t>SANTA ROSA DA SERRA/MG</t>
  </si>
  <si>
    <t>SANTA VITÓRIA/MG</t>
  </si>
  <si>
    <t>SANTANA DA VARGEM/MG</t>
  </si>
  <si>
    <t>SANTANA DE CATAGUASES/MG</t>
  </si>
  <si>
    <t>SANTANA DE PIRAPAMA/MG</t>
  </si>
  <si>
    <t>SANTANA DO DESERTO/MG</t>
  </si>
  <si>
    <t>SANTANA DO GARAMBÉU/MG</t>
  </si>
  <si>
    <t>SANTANA DO JACARÉ/MG</t>
  </si>
  <si>
    <t>SANTANA DO MANHUAÇU/MG</t>
  </si>
  <si>
    <t>SANTANA DO PARAÍSO/MG</t>
  </si>
  <si>
    <t>SANTANA DO RIACHO/MG</t>
  </si>
  <si>
    <t>SANTANA DOS MONTES/MG</t>
  </si>
  <si>
    <t>SANTO ANTÔNIO DO AMPARO/MG</t>
  </si>
  <si>
    <t>SANTO ANTÔNIO DO AVENTUREIRO/MG</t>
  </si>
  <si>
    <t>SANTO ANTÔNIO DO GRAMA/MG</t>
  </si>
  <si>
    <t>SANTO ANTÔNIO DO ITAMBÉ/MG</t>
  </si>
  <si>
    <t>SANTO ANTÔNIO DO JACINTO/MG</t>
  </si>
  <si>
    <t>SANTO ANTÔNIO DO MONTE/MG</t>
  </si>
  <si>
    <t>SANTO ANTÔNIO DO RETIRO/MG</t>
  </si>
  <si>
    <t>SANTO ANTÔNIO DO RIO ABAIXO/MG</t>
  </si>
  <si>
    <t>SANTO HIPÓLITO/MG</t>
  </si>
  <si>
    <t>SANTOS DUMONT/MG</t>
  </si>
  <si>
    <t>SÃO BENTO ABADE/MG</t>
  </si>
  <si>
    <t>SÃO BRÁS DO SUAÇUÍ/MG</t>
  </si>
  <si>
    <t>SÃO DOMINGOS DAS DORES/MG</t>
  </si>
  <si>
    <t>SÃO DOMINGOS DO PRATA/MG</t>
  </si>
  <si>
    <t>SÃO FÉLIX DE MINAS/MG</t>
  </si>
  <si>
    <t>SÃO FRANCISCO/MG</t>
  </si>
  <si>
    <t>SÃO FRANCISCO DE PAULA/MG</t>
  </si>
  <si>
    <t>SÃO FRANCISCO DE SALES/MG</t>
  </si>
  <si>
    <t>SÃO FRANCISCO DO GLÓRIA/MG</t>
  </si>
  <si>
    <t>SÃO GERALDO/MG</t>
  </si>
  <si>
    <t>SÃO GERALDO DA PIEDADE/MG</t>
  </si>
  <si>
    <t>SÃO GERALDO DO BAIXIO/MG</t>
  </si>
  <si>
    <t>SÃO GONÇALO DO ABAETÉ/MG</t>
  </si>
  <si>
    <t>SÃO GONÇALO DO PARÁ/MG</t>
  </si>
  <si>
    <t>SÃO GONÇALO DO RIO ABAIXO/MG</t>
  </si>
  <si>
    <t>SÃO GONÇALO DO RIO PRETO/MG</t>
  </si>
  <si>
    <t>SÃO GONÇALO DO SAPUCAÍ/MG</t>
  </si>
  <si>
    <t>SÃO GOTARDO/MG</t>
  </si>
  <si>
    <t>SÃO JOÃO BATISTA DO GLÓRIA/MG</t>
  </si>
  <si>
    <t>SÃO JOÃO DA LAGOA/MG</t>
  </si>
  <si>
    <t>SÃO JOÃO DA MATA/MG</t>
  </si>
  <si>
    <t>SÃO JOÃO DA PONTE/MG</t>
  </si>
  <si>
    <t>SÃO JOÃO DAS MISSÕES/MG</t>
  </si>
  <si>
    <t>SÃO JOÃO DEL REI/MG</t>
  </si>
  <si>
    <t>SÃO JOÃO DO MANHUAÇU/MG</t>
  </si>
  <si>
    <t>SÃO JOÃO DO MANTENINHA/MG</t>
  </si>
  <si>
    <t>SÃO JOÃO DO ORIENTE/MG</t>
  </si>
  <si>
    <t>SÃO JOÃO DO PACUÍ/MG</t>
  </si>
  <si>
    <t>SÃO JOÃO DO PARAÍSO/MG</t>
  </si>
  <si>
    <t>SÃO JOÃO EVANGELISTA/MG</t>
  </si>
  <si>
    <t>SÃO JOÃO NEPOMUCENO/MG</t>
  </si>
  <si>
    <t>SÃO JOAQUIM DE BICAS/MG</t>
  </si>
  <si>
    <t>SÃO JOSÉ DA BARRA/MG</t>
  </si>
  <si>
    <t>SÃO JOSÉ DA LAPA/MG</t>
  </si>
  <si>
    <t>SÃO JOSÉ DA SAFIRA/MG</t>
  </si>
  <si>
    <t>SÃO JOSÉ DA VARGINHA/MG</t>
  </si>
  <si>
    <t>SÃO JOSÉ DO ALEGRE/MG</t>
  </si>
  <si>
    <t>SÃO JOSÉ DO DIVINO/MG</t>
  </si>
  <si>
    <t>SÃO JOSÉ DO GOIABAL/MG</t>
  </si>
  <si>
    <t>SÃO JOSÉ DO JACURI/MG</t>
  </si>
  <si>
    <t>SÃO JOSÉ DO MANTIMENTO/MG</t>
  </si>
  <si>
    <t>SÃO LOURENÇO/MG</t>
  </si>
  <si>
    <t>SÃO MIGUEL DO ANTA/MG</t>
  </si>
  <si>
    <t>SÃO PEDRO DA UNIÃO/MG</t>
  </si>
  <si>
    <t>SÃO PEDRO DO SUAÇUÍ/MG</t>
  </si>
  <si>
    <t>SÃO PEDRO DOS FERROS/MG</t>
  </si>
  <si>
    <t>SÃO ROMÃO/MG</t>
  </si>
  <si>
    <t>SÃO ROQUE DE MINAS/MG</t>
  </si>
  <si>
    <t>SÃO SEBASTIÃO DA BELA VISTA/MG</t>
  </si>
  <si>
    <t>SÃO SEBASTIÃO DA VARGEM ALEGRE/MG</t>
  </si>
  <si>
    <t>SÃO SEBASTIÃO DO ANTA/MG</t>
  </si>
  <si>
    <t>SÃO SEBASTIÃO DO MARANHÃO/MG</t>
  </si>
  <si>
    <t>SÃO SEBASTIÃO DO OESTE/MG</t>
  </si>
  <si>
    <t>SÃO SEBASTIÃO DO PARAÍSO/MG</t>
  </si>
  <si>
    <t>SÃO SEBASTIÃO DO RIO PRETO/MG</t>
  </si>
  <si>
    <t>SÃO SEBASTIÃO DO RIO VERDE/MG</t>
  </si>
  <si>
    <t>SÃO THOMÉ DAS LETRAS/MG</t>
  </si>
  <si>
    <t>SÃO TIAGO/MG</t>
  </si>
  <si>
    <t>SÃO TOMÁS DE AQUINO/MG</t>
  </si>
  <si>
    <t>SÃO VICENTE DE MINAS/MG</t>
  </si>
  <si>
    <t>SAPUCAÍ-MIRIM/MG</t>
  </si>
  <si>
    <t>SARDOÁ/MG</t>
  </si>
  <si>
    <t>SARZEDO/MG</t>
  </si>
  <si>
    <t>SEM-PEIXE/MG</t>
  </si>
  <si>
    <t>SENADOR AMARAL/MG</t>
  </si>
  <si>
    <t>SENADOR CORTES/MG</t>
  </si>
  <si>
    <t>SENADOR FIRMINO/MG</t>
  </si>
  <si>
    <t>SENADOR JOSÉ BENTO/MG</t>
  </si>
  <si>
    <t>SENADOR MODESTINO GONÇALVES/MG</t>
  </si>
  <si>
    <t>SENHORA DE OLIVEIRA/MG</t>
  </si>
  <si>
    <t>SENHORA DO PORTO/MG</t>
  </si>
  <si>
    <t>SENHORA DOS REMÉDIOS/MG</t>
  </si>
  <si>
    <t>SERICITA/MG</t>
  </si>
  <si>
    <t>SERITINGA/MG</t>
  </si>
  <si>
    <t>SERRA AZUL DE MINAS/MG</t>
  </si>
  <si>
    <t>SERRA DA SAUDADE/MG</t>
  </si>
  <si>
    <t>SERRA DO SALITRE/MG</t>
  </si>
  <si>
    <t>SERRA DOS AIMORÉS/MG</t>
  </si>
  <si>
    <t>SERRANIA/MG</t>
  </si>
  <si>
    <t>SERRANÓPOLIS DE MINAS/MG</t>
  </si>
  <si>
    <t>SERRANOS/MG</t>
  </si>
  <si>
    <t>SERRO/MG</t>
  </si>
  <si>
    <t>SETE LAGOAS /MG</t>
  </si>
  <si>
    <t>SETUBINHA/MG</t>
  </si>
  <si>
    <t>SILVEIRÂNIA/MG</t>
  </si>
  <si>
    <t>SILVIANÓPOLIS/MG</t>
  </si>
  <si>
    <t>SIMÃO PEREIRA/MG</t>
  </si>
  <si>
    <t>SIMONÉSIA/MG</t>
  </si>
  <si>
    <t>SOBRÁLIA/MG</t>
  </si>
  <si>
    <t>SOLEDADE DE MINAS/MG</t>
  </si>
  <si>
    <t>TABULEIRO/MG</t>
  </si>
  <si>
    <t>TAIOBEIRAS/MG</t>
  </si>
  <si>
    <t>TAPARUBA/MG</t>
  </si>
  <si>
    <t>TAPIRA/MG</t>
  </si>
  <si>
    <t>TAPIRAÍ/MG</t>
  </si>
  <si>
    <t>TAQUARAÇU DE MINAS/MG</t>
  </si>
  <si>
    <t>TARUMIRIM/MG</t>
  </si>
  <si>
    <t>TEIXEIRAS/MG</t>
  </si>
  <si>
    <t>TEÓFILO OTONI/MG</t>
  </si>
  <si>
    <t>TIMÓTEO/MG</t>
  </si>
  <si>
    <t>TIRADENTES/MG</t>
  </si>
  <si>
    <t>TIROS/MG</t>
  </si>
  <si>
    <t>TOCANTINS/MG</t>
  </si>
  <si>
    <t>TOCOS DO MOJI/MG</t>
  </si>
  <si>
    <t>TOLEDO/MG</t>
  </si>
  <si>
    <t>TOMBOS/MG</t>
  </si>
  <si>
    <t>TRÊS CORAÇÕES/MG</t>
  </si>
  <si>
    <t>TRÊS MARIAS/MG</t>
  </si>
  <si>
    <t>TRÊS PONTAS/MG</t>
  </si>
  <si>
    <t>TUMIRITINGA/MG</t>
  </si>
  <si>
    <t>TUPACIGUARA/MG</t>
  </si>
  <si>
    <t>TURMALINA/MG</t>
  </si>
  <si>
    <t>TURVOLÂNDIA/MG</t>
  </si>
  <si>
    <t>UBÁ/MG</t>
  </si>
  <si>
    <t>UBAÍ/MG</t>
  </si>
  <si>
    <t>UBAPORANGA/MG</t>
  </si>
  <si>
    <t>UBERABA /MG</t>
  </si>
  <si>
    <t>UBERLÂNDIA /MG</t>
  </si>
  <si>
    <t>UMBURATIBA/MG</t>
  </si>
  <si>
    <t>UNAÍ/MG</t>
  </si>
  <si>
    <t>UNIÃO DE MINAS/MG</t>
  </si>
  <si>
    <t>URUANA DE MINAS/MG</t>
  </si>
  <si>
    <t>URUCÂNIA/MG</t>
  </si>
  <si>
    <t>URUCUIA/MG</t>
  </si>
  <si>
    <t>VARGEM ALEGRE/MG</t>
  </si>
  <si>
    <t>VARGEM BONITA/MG</t>
  </si>
  <si>
    <t>VARGEM GRANDE DO RIO PARDO/MG</t>
  </si>
  <si>
    <t>VARGINHA/MG</t>
  </si>
  <si>
    <t>VARJÃO DE MINAS/MG</t>
  </si>
  <si>
    <t>VÁRZEA DA PALMA/MG</t>
  </si>
  <si>
    <t>VARZELÂNDIA/MG</t>
  </si>
  <si>
    <t>VAZANTE/MG</t>
  </si>
  <si>
    <t>VERDELÂNDIA/MG</t>
  </si>
  <si>
    <t>VEREDINHA/MG</t>
  </si>
  <si>
    <t>VERÍSSIMO/MG</t>
  </si>
  <si>
    <t>VERMELHO NOVO/MG</t>
  </si>
  <si>
    <t>VESPASIANO/MG</t>
  </si>
  <si>
    <t>VIÇOSA/MG</t>
  </si>
  <si>
    <t>VIEIRAS/MG</t>
  </si>
  <si>
    <t>VIRGEM DA LAPA/MG</t>
  </si>
  <si>
    <t>VIRGÍNIA/MG</t>
  </si>
  <si>
    <t>VIRGINÓPOLIS/MG</t>
  </si>
  <si>
    <t>VIRGOLÂNDIA/MG</t>
  </si>
  <si>
    <t>VISCONDE DO RIO BRANCO/MG</t>
  </si>
  <si>
    <t>VOLTA GRANDE/MG</t>
  </si>
  <si>
    <t>WENCESLAU BRAZ/MG</t>
  </si>
  <si>
    <t>DO1 - RIO PIRANGA</t>
  </si>
  <si>
    <t>DO2 - RIO PIRACICABA</t>
  </si>
  <si>
    <t>DO3 - RIO SANTO ANTÔNIO</t>
  </si>
  <si>
    <t>DO4 - RIO SUAÇUÍ GRANDE</t>
  </si>
  <si>
    <t>DO5 - RIO CARATINGA</t>
  </si>
  <si>
    <t>DO6 - RIO MANHUAÇÚ</t>
  </si>
  <si>
    <t>GD1- ALTO RIO GRANDE</t>
  </si>
  <si>
    <t>GD2 - RIO DAS MORTES</t>
  </si>
  <si>
    <t>GD3 - ENTORNO DO RESERVATÓRIO DE FURNAS</t>
  </si>
  <si>
    <t>GD4 - RIO VERDE</t>
  </si>
  <si>
    <t>GD5 - RIO SAPUCAÍ</t>
  </si>
  <si>
    <t>GD6 - AFLUENTES MINEIROS DOS RIOS MOGI-GUAÇU E PARDO</t>
  </si>
  <si>
    <t>GD7 - MÉDIO RIO GRANDE</t>
  </si>
  <si>
    <t>GD8 - BAIXO RIO GRANDE</t>
  </si>
  <si>
    <t>JQ1 - ALTO RIO JEQUITINHONHA</t>
  </si>
  <si>
    <t>JQ2 - RIO ARAÇUAÍ</t>
  </si>
  <si>
    <t>JQ3 - MÉDIO E BAIXO RIO JEQUITINHONHA</t>
  </si>
  <si>
    <t>MU1 - RIO MUCURI</t>
  </si>
  <si>
    <t>PA1 - RIO PARDO</t>
  </si>
  <si>
    <t>PJ1 - RIOS PIRACICABA E JAGUARÍ</t>
  </si>
  <si>
    <t>PN1 - ALTO RIO PARANAIBA</t>
  </si>
  <si>
    <t>PN2 - RIO ARAGUARI</t>
  </si>
  <si>
    <t>PN3 - BAIXO RIO PARANAÍBA</t>
  </si>
  <si>
    <t>PS1 - RIOS PRETO E PARAIBUNA</t>
  </si>
  <si>
    <t>PS2 - RIOS POMBA E MURIAÉ</t>
  </si>
  <si>
    <t>SF1 - ALTO RIO SÃO FRANCISCO</t>
  </si>
  <si>
    <t>SF10 - RIO VERDE GRANDE</t>
  </si>
  <si>
    <t>SF2 - RIO PARÁ</t>
  </si>
  <si>
    <t>SF3 - RIO PARAOPEBA</t>
  </si>
  <si>
    <t>SF4 - ENTORNO DA REPRESA DE TRÊS MARIAS</t>
  </si>
  <si>
    <t>SF5 - RIO DAS VELHAS</t>
  </si>
  <si>
    <t>SF6 - RIOS JEQUITAÍ E PACUÍ</t>
  </si>
  <si>
    <t>SF7 - RIO PARACATU</t>
  </si>
  <si>
    <t>SF8 - RIO URUCUIA</t>
  </si>
  <si>
    <t>SF9 - RIO PANDEIROS</t>
  </si>
  <si>
    <t>SM1 - RIO SÃO MATEUS</t>
  </si>
  <si>
    <t>MUNICÍPIOS</t>
  </si>
  <si>
    <t>UPGRH</t>
  </si>
  <si>
    <t>REGIÃO HIDROGRÁFICA ATLÂNTICO SUDESTE</t>
  </si>
  <si>
    <t>REGIÃO HIDROGRÁFICA PARANÁ</t>
  </si>
  <si>
    <t>REGIÃO HIDROGRÁFICA SÃO FRANCISCO</t>
  </si>
  <si>
    <t>REGIÃO HIDROGRÁFICA ATLÂNTICO LESTE</t>
  </si>
  <si>
    <t>REGIÃO HIDROGRÁFICA</t>
  </si>
  <si>
    <t>BACIA HIDROGRÁFICA</t>
  </si>
  <si>
    <t>DATUM</t>
  </si>
  <si>
    <t>DOMÍNIO DO CURSO D'ÁGUA BARRADO</t>
  </si>
  <si>
    <t>ABASTECIMENTO HUMANO</t>
  </si>
  <si>
    <t>ABASTECIMENTO INDUSTRIAL</t>
  </si>
  <si>
    <t>RESERVAÇÃO</t>
  </si>
  <si>
    <t>IRRIGAÇÃO</t>
  </si>
  <si>
    <t>DESSEDENTAÇÃO DE ANIMAIS</t>
  </si>
  <si>
    <t>DILUIÇÃO DE EFLUENTES</t>
  </si>
  <si>
    <t>AQUICULTURA</t>
  </si>
  <si>
    <t>GERAÇÃO DE ENERGIA</t>
  </si>
  <si>
    <t>EXTRAÇÃO MINERAL</t>
  </si>
  <si>
    <t>DESASSOREAMENTO</t>
  </si>
  <si>
    <t>CONTROLE DE CHEIAS</t>
  </si>
  <si>
    <t>RECREAÇÃO</t>
  </si>
  <si>
    <t>PAISAGISMO</t>
  </si>
  <si>
    <t>URBANIZAÇÃO</t>
  </si>
  <si>
    <t>OUTRAS</t>
  </si>
  <si>
    <t>FINALIDADE DO BARRAMENTO</t>
  </si>
  <si>
    <t>REGULARIZAÇÃO DE VAZÃO</t>
  </si>
  <si>
    <t>USO PRINCIPAL E SECUNDÁRIO DA BARRAGEM</t>
  </si>
  <si>
    <t>OPERANDO</t>
  </si>
  <si>
    <t>DESATIVADA</t>
  </si>
  <si>
    <t>DESCOMISSIONADA</t>
  </si>
  <si>
    <t xml:space="preserve">EMBARGADA </t>
  </si>
  <si>
    <t>DESCADASTRADA</t>
  </si>
  <si>
    <t xml:space="preserve">DESCARACTERIZADA </t>
  </si>
  <si>
    <t>SOLICITAÇÃO DE DESCARACTERIZAÇÃO</t>
  </si>
  <si>
    <t>OUTROS</t>
  </si>
  <si>
    <t>SITUAÇÃO DA OPERAÇÃO DA BARRAGEM</t>
  </si>
  <si>
    <t>ALTURA MÁXIMA DO MACIÇO ACIMA DO NÍVEL DO TERRENO</t>
  </si>
  <si>
    <t>COMPRIMENTO DO COROAMENTO</t>
  </si>
  <si>
    <t>CONCRETO COMPACTADO A ROLO - CCR</t>
  </si>
  <si>
    <t>TIPO DE BARRAGEM QUANTO AO MATERIAL DE CONSTRUÇÃO</t>
  </si>
  <si>
    <t>TIPO DE FUNDAÇÃO</t>
  </si>
  <si>
    <t>ENTRE 30 E 50 ANOS</t>
  </si>
  <si>
    <t>VAZÃO DE PROJETO</t>
  </si>
  <si>
    <t>1 - ESTRUTURAS CIVIS E HIDROELETROMECÂNICAS EM PLENO FUNCIONAMENTO / CANAIS DE APROXIMAÇÃO OU DE RESTITUICAO OU VERTEDOURO (TIPO SOLEIRA LIVRE) DESOBSTRUIDOS</t>
  </si>
  <si>
    <t>2 - ESTRUTURAS CIVIS E HIDROELETROMECÂNICAS PREPARADAS PARA A OPERAÇÃO, MAS SEM FONTES DE SUPRIMENTO DE ENERGIA DE EMERGÊNCIA / CANAIS OU VERTEDOURO (TIPO SOLEIRA LIVRE) COM EROSÕES OU OBSTRUÇÕES, PORÉM SEM RISCOS A ESTRUTURA VERTENTE</t>
  </si>
  <si>
    <t>CONFIABILIDADE DAS ESTRUTURAS EXTRAVASORAS</t>
  </si>
  <si>
    <t>5 - NÃO POSSUI ESTRUTURAS EXTRAVASADORAS</t>
  </si>
  <si>
    <t>CONFIABILIDADE DAS ESTRUTURAS DE ADUÇÃO</t>
  </si>
  <si>
    <t>PERCOLAÇÃO</t>
  </si>
  <si>
    <t>IDADE DA BARRAGEM</t>
  </si>
  <si>
    <t>1 - ESTRUTURAS CIVIS E DISPOSITIVOS HIDROELETROMECÂNICOS EM CONDIÇÕES ADEQUADAS DE MANUTENÇÃO E FUNCIONAMENTO</t>
  </si>
  <si>
    <t>2 - ESTRUTURAS CIVIS COMPROMETIDAS OU DISPOSITIVOS HIDROELETROMECÂNICOS COM PROBLEMAS IDENTIFICADOS, COM REDUÇÃO DE CAPACIDADE DE VAZÃO E COM MEDIDAS CORRETIVAS EM IMPLANTAÇÃO</t>
  </si>
  <si>
    <t>3 - ESTRUTURAS CIVIS COMPROMETIDAS OU DISPOSITIVOS HIDROELETROMECÂNICOS COM PROBLEMAS IDENTIFICADOS, COM REDUÇÃO DE CAPACIDADE DE VAZÃO E SEM MEDIDAS CORRETIVAS</t>
  </si>
  <si>
    <t>DEFORMAÇÕES E RECALQUES</t>
  </si>
  <si>
    <t>DETERIORAÇÃO DOS TALUDES/PARAMENTOS</t>
  </si>
  <si>
    <t>POSSUI PLANO DE SEGURANÇA DE BARRAGEM</t>
  </si>
  <si>
    <t>SIM</t>
  </si>
  <si>
    <t>NÃO</t>
  </si>
  <si>
    <t>EXISTÊNCIA DE DOCUMENTAÇÃO DE PROJETO</t>
  </si>
  <si>
    <t>ESTRUTURA ORGANIZACIONAL E QUALIFICAÇÃO TÉCNICA DOS PROFISSIONAIS DA EQUIPE DE SEGURANÇA DA BARRAGEM</t>
  </si>
  <si>
    <t>PROCEDIMENTOS DE ROTEIROS DE INSPEÇÕES DE SEGURANÇA E DE MONITORAMENTO</t>
  </si>
  <si>
    <t>RELATÓRIOS DE INSPEÇÃO DE SEGURANÇA COM ANÁLISE E INTERPRETAÇÃO</t>
  </si>
  <si>
    <t>REGRA OPERACIONAL DOS DISPOSITIVOS DE DESCARGA DA BARRAGEM</t>
  </si>
  <si>
    <t>PROJETO</t>
  </si>
  <si>
    <t>TIPO DA ÚLTIMA INSPEÇÃO</t>
  </si>
  <si>
    <t>NÍVEL DE PERIGO DA BARRAGEM</t>
  </si>
  <si>
    <t>CAPACIDADE TOTAL DO RESERVATÓRIO</t>
  </si>
  <si>
    <r>
      <t>PEQUENO (</t>
    </r>
    <r>
      <rPr>
        <sz val="11"/>
        <color theme="1"/>
        <rFont val="Calibri"/>
        <family val="2"/>
      </rPr>
      <t>≤ 5 MILHÕES m</t>
    </r>
    <r>
      <rPr>
        <vertAlign val="superscript"/>
        <sz val="11"/>
        <color theme="1"/>
        <rFont val="Calibri"/>
        <family val="2"/>
      </rPr>
      <t>3</t>
    </r>
    <r>
      <rPr>
        <sz val="11"/>
        <color theme="1"/>
        <rFont val="Calibri"/>
        <family val="2"/>
      </rPr>
      <t>)</t>
    </r>
  </si>
  <si>
    <r>
      <t>MUITO GRANDE (&gt; 200 MILHÕES DE m</t>
    </r>
    <r>
      <rPr>
        <vertAlign val="superscript"/>
        <sz val="11"/>
        <color theme="1"/>
        <rFont val="Calibri"/>
        <family val="2"/>
        <scheme val="minor"/>
      </rPr>
      <t>3</t>
    </r>
    <r>
      <rPr>
        <sz val="11"/>
        <color theme="1"/>
        <rFont val="Calibri"/>
        <family val="2"/>
        <scheme val="minor"/>
      </rPr>
      <t>)</t>
    </r>
  </si>
  <si>
    <r>
      <t>MÉDIO (5 MILHÕES m</t>
    </r>
    <r>
      <rPr>
        <vertAlign val="superscript"/>
        <sz val="11"/>
        <color theme="1"/>
        <rFont val="Calibri"/>
        <family val="2"/>
        <scheme val="minor"/>
      </rPr>
      <t>3</t>
    </r>
    <r>
      <rPr>
        <sz val="11"/>
        <color theme="1"/>
        <rFont val="Calibri"/>
        <family val="2"/>
        <scheme val="minor"/>
      </rPr>
      <t xml:space="preserve"> a 75 MILHÕES m</t>
    </r>
    <r>
      <rPr>
        <vertAlign val="superscript"/>
        <sz val="11"/>
        <color theme="1"/>
        <rFont val="Calibri"/>
        <family val="2"/>
        <scheme val="minor"/>
      </rPr>
      <t>3</t>
    </r>
    <r>
      <rPr>
        <sz val="11"/>
        <color theme="1"/>
        <rFont val="Calibri"/>
        <family val="2"/>
        <scheme val="minor"/>
      </rPr>
      <t>)</t>
    </r>
  </si>
  <si>
    <r>
      <t>GRANDE (75 MILHÕES A 200 MILHÕES m</t>
    </r>
    <r>
      <rPr>
        <vertAlign val="superscript"/>
        <sz val="11"/>
        <color theme="1"/>
        <rFont val="Calibri"/>
        <family val="2"/>
        <scheme val="minor"/>
      </rPr>
      <t>3</t>
    </r>
    <r>
      <rPr>
        <sz val="11"/>
        <color theme="1"/>
        <rFont val="Calibri"/>
        <family val="2"/>
        <scheme val="minor"/>
      </rPr>
      <t>)</t>
    </r>
  </si>
  <si>
    <t>POTENCIAL DE PERDAS DE VIDAS HUMANAS</t>
  </si>
  <si>
    <t>IMPACTO AMBIENTAL</t>
  </si>
  <si>
    <t>IMPACTO SÓCIO-ECONÔMICO</t>
  </si>
  <si>
    <t>TIPO ESTRUTURAL</t>
  </si>
  <si>
    <t>GRAVIDADE</t>
  </si>
  <si>
    <t>ARCO</t>
  </si>
  <si>
    <t>ARCOS MÚLTIPLOS</t>
  </si>
  <si>
    <t>CONTRAFORTES</t>
  </si>
  <si>
    <t>HOMOGÊNEA</t>
  </si>
  <si>
    <t>ZONEADA</t>
  </si>
  <si>
    <t>SEM INFORMAÇÃO</t>
  </si>
  <si>
    <t>AUTORIZAÇÃO PARA USO DE RECURSOS HÍDRICOS</t>
  </si>
  <si>
    <t>COMENTÁRIOS/OBSERVAÇÕES</t>
  </si>
  <si>
    <t>FASE DE VIDA</t>
  </si>
  <si>
    <t>PLANEJAMENTO</t>
  </si>
  <si>
    <t>CONSTRUÇÃO</t>
  </si>
  <si>
    <t>PRIMEIRO ENCHIMENTO</t>
  </si>
  <si>
    <t>OPERAÇÃO</t>
  </si>
  <si>
    <t>DESCOMISSIONAMENTO</t>
  </si>
  <si>
    <t>INATIVA</t>
  </si>
  <si>
    <t>CRITÉRIO VAZÃO PROJETO EXTRAVASOR</t>
  </si>
  <si>
    <t>CONTROLE EXTRAVASOR</t>
  </si>
  <si>
    <t>SEM COMPORTA</t>
  </si>
  <si>
    <t>COM COMPORTA DE FLUTUADOR E CONTRAPESO</t>
  </si>
  <si>
    <t>COM COMPORTA DE ACIONAMENTO MECÂNICO</t>
  </si>
  <si>
    <t>COM COMPORTA DE ACIONAMENTO ELETROMECÂNICO</t>
  </si>
  <si>
    <t>OUTRO</t>
  </si>
  <si>
    <t>COM COMPORTA DE ACIONAMENTO MANUAL</t>
  </si>
  <si>
    <t>IDENTIFICAÇÃO DO EMPREENDIMENTO (onde se localiza a barragem)</t>
  </si>
  <si>
    <t>INSTRUÇÃO DE PREENCHIMENTO</t>
  </si>
  <si>
    <t>Número</t>
  </si>
  <si>
    <t>Texto</t>
  </si>
  <si>
    <t xml:space="preserve">Telefone 1:  </t>
  </si>
  <si>
    <t>Telefone 2:</t>
  </si>
  <si>
    <t>Tem Revisisão Periódica de Segurança de Barragem:</t>
  </si>
  <si>
    <t>PERÍODO DE RETORNO IGUAL 1.000 ANOS</t>
  </si>
  <si>
    <t>PERÍODO DE RETORNO DESCONHECIDO</t>
  </si>
  <si>
    <t>PERÍODO DE RETORNO IGUAL 5.000 ANOS</t>
  </si>
  <si>
    <t>SIM/NÃO</t>
  </si>
  <si>
    <r>
      <rPr>
        <b/>
        <sz val="12"/>
        <color theme="1"/>
        <rFont val="Arial"/>
        <family val="2"/>
      </rPr>
      <t>Selecionar</t>
    </r>
    <r>
      <rPr>
        <sz val="12"/>
        <color theme="1"/>
        <rFont val="Arial"/>
        <family val="2"/>
      </rPr>
      <t xml:space="preserve"> a opção em que a barragem se encontra.</t>
    </r>
  </si>
  <si>
    <r>
      <rPr>
        <b/>
        <sz val="12"/>
        <color theme="1"/>
        <rFont val="Arial"/>
        <family val="2"/>
      </rPr>
      <t>Selecionar</t>
    </r>
    <r>
      <rPr>
        <sz val="12"/>
        <color theme="1"/>
        <rFont val="Arial"/>
        <family val="2"/>
      </rPr>
      <t xml:space="preserve"> se a barragem tem documento de Projeto Básico com localização conhecida.</t>
    </r>
  </si>
  <si>
    <r>
      <rPr>
        <b/>
        <sz val="12"/>
        <color theme="1"/>
        <rFont val="Arial"/>
        <family val="2"/>
      </rPr>
      <t>Selecionar</t>
    </r>
    <r>
      <rPr>
        <sz val="12"/>
        <color theme="1"/>
        <rFont val="Arial"/>
        <family val="2"/>
      </rPr>
      <t xml:space="preserve"> se a barragem tem documento de Projeto Executivo com localização conhecida.</t>
    </r>
  </si>
  <si>
    <r>
      <rPr>
        <b/>
        <sz val="12"/>
        <color theme="1"/>
        <rFont val="Arial"/>
        <family val="2"/>
      </rPr>
      <t>Selecionar</t>
    </r>
    <r>
      <rPr>
        <sz val="12"/>
        <color theme="1"/>
        <rFont val="Arial"/>
        <family val="2"/>
      </rPr>
      <t xml:space="preserve"> a opção de como se encontra a estruturas civis e/ou dispositivos hidroeletromecânicos.</t>
    </r>
  </si>
  <si>
    <r>
      <rPr>
        <b/>
        <sz val="12"/>
        <color theme="1"/>
        <rFont val="Arial"/>
        <family val="2"/>
      </rPr>
      <t>Digitar</t>
    </r>
    <r>
      <rPr>
        <sz val="12"/>
        <color theme="1"/>
        <rFont val="Arial"/>
        <family val="2"/>
      </rPr>
      <t xml:space="preserve"> a idade da barragem (em anos) a partir do início da operação.</t>
    </r>
  </si>
  <si>
    <r>
      <rPr>
        <b/>
        <sz val="12"/>
        <color theme="1"/>
        <rFont val="Arial"/>
        <family val="2"/>
      </rPr>
      <t>Selecionar</t>
    </r>
    <r>
      <rPr>
        <sz val="12"/>
        <color theme="1"/>
        <rFont val="Arial"/>
        <family val="2"/>
      </rPr>
      <t xml:space="preserve"> quanto à confiabilidade das estruturas extravasoras.</t>
    </r>
  </si>
  <si>
    <t>Deterioração dos taludes / Paramentos:</t>
  </si>
  <si>
    <r>
      <rPr>
        <b/>
        <sz val="12"/>
        <color theme="1"/>
        <rFont val="Arial"/>
        <family val="2"/>
      </rPr>
      <t>Selecionar</t>
    </r>
    <r>
      <rPr>
        <sz val="12"/>
        <color theme="1"/>
        <rFont val="Arial"/>
        <family val="2"/>
      </rPr>
      <t xml:space="preserve"> quanto às condições de deformação e recalques na barragem.</t>
    </r>
  </si>
  <si>
    <r>
      <rPr>
        <b/>
        <sz val="12"/>
        <color theme="1"/>
        <rFont val="Arial"/>
        <family val="2"/>
      </rPr>
      <t>Selecionar</t>
    </r>
    <r>
      <rPr>
        <sz val="12"/>
        <color theme="1"/>
        <rFont val="Arial"/>
        <family val="2"/>
      </rPr>
      <t xml:space="preserve"> quanto às condições dos taludes (paramentos).</t>
    </r>
  </si>
  <si>
    <t>ESTADO DE CONSERVAÇÃO DA BARRAGEM</t>
  </si>
  <si>
    <t>1 - PERCOLAÇÃO TOTALMENTE CONTROLADA PELO SISTEMA DE DRENAGEM</t>
  </si>
  <si>
    <t>2 - UMIDADE OU SURGÊNCIA NAS ÁREAS DE JUSANTE, PARAMENTOS, TALUDES OU OMBREIRAS ESTABILIZADAS E/OU MONITORADAS</t>
  </si>
  <si>
    <t>3 - UMIDADE OU SURGÊNCIA NAS ÁREAS DE JUSANTE, PARAMENTOS, TALUDES OU OMBREIRAS SEM TRATAMENTO OU EM FASE DE DIAGNÓSTICO</t>
  </si>
  <si>
    <t>4 - SURGÊNCIA NAS ÁREAS DE JUSANTE, TALUDES OU OMBREIRAS COM CARREAMENTO DE MATERIAL OU COM VAZÃO CRESCENTE</t>
  </si>
  <si>
    <t xml:space="preserve">1 - INEXISTENTE </t>
  </si>
  <si>
    <t xml:space="preserve">2 - EXISTÊNCIA DE TRINCAS E ABATIMENTOS DE PEQUENA EXTENSÃO E IMPACTO NULO. </t>
  </si>
  <si>
    <t>3 - EXISTÊNCIA DE TRINCAS E ABATIMENTOS DE IMPACTO CONSIDERÁVEL GERANDO NECESSIDADE DE ESTUDOS ADICIONAIS OU MONITORAMENTO.</t>
  </si>
  <si>
    <t>1 - INEXISTENTE</t>
  </si>
  <si>
    <t>2 - FALHAS NA PROTEÇÃO DOS TALUDES E PARAMENTOS, PRESENÇA DE ARBUSTOS DE PEQUENA EXTENSÃO E IMPACTO NULO</t>
  </si>
  <si>
    <t>3 - EROSÕES SUPERFICIAIS, FERRAGEM EXPOSTA, CRESCIMENTO DE VEGETAÇÃO GENERALIZADA, GERANDO NECESSIDADE DE MONITORAMENTO OU ATUAÇÃO CORRETIVA</t>
  </si>
  <si>
    <t>4 - DEPRESSÕES ACENTUADAS NOS TALUDES, ESCORREGAMENTOS, SULCOS PROFUNDOS DE EROSÃO, COM POTENCIAL DE COMPROMETIMENTO DA SEGURANÇA</t>
  </si>
  <si>
    <t>1 - PROJETO EXECUTIVO E "COMO CONSTRUÍDO"</t>
  </si>
  <si>
    <t>2 - PROJETO EXECUTIVO OU "COMO CONSTRUÍDO"</t>
  </si>
  <si>
    <t>3 - PROJETO BÁSICO</t>
  </si>
  <si>
    <t>4 - ANTEPROJETO OU PROJETO CONCEITUAL</t>
  </si>
  <si>
    <t>5 -INEXISTE DOCUMENTAÇÃO DE PROJETO</t>
  </si>
  <si>
    <t>1 -POSSUI ESTRUTURA ORGANIZACIONAL COM TÉCNICO RESPONSÁVEL PELA SEGURNAÇA DA BARRAGEM</t>
  </si>
  <si>
    <t>2 - POSSUI TÉCNICO RESPONSÁVEL PELA SEGURANÇA DA BARRAGEM</t>
  </si>
  <si>
    <t>3 - NÃO POSSUI ESTUTURA ORGANIZACIONAL E RESPOSÁVEL TÉCNICO PELA SEGURANÇA DA BARRAGEM</t>
  </si>
  <si>
    <t>1 - POSSUI E APLICA PROCEDIMENTOS DE INSPEÇÃO E MONITORAMENTO</t>
  </si>
  <si>
    <t>2 - POSSUI E APLICA APENAS PROCEDIMENTOS DE INSPEÇÃO</t>
  </si>
  <si>
    <t>3 - POSSUI E NÃO APLICA INSPEÇÃO E MONITORAMENTO</t>
  </si>
  <si>
    <t>4 - NÃO POSSUI E NÃO APLICA PROCEDIMENTOS PARA MONITORAMENTO E INSPEÇÕES</t>
  </si>
  <si>
    <t xml:space="preserve">1 - EMITE REGULARMENTE OS RELATÓRIOS </t>
  </si>
  <si>
    <t>2 - EMITE OS RELATÓRIOS SEM PERIODICIDADE</t>
  </si>
  <si>
    <t>3 - NÃO EMITE OS RELATÓRIOS</t>
  </si>
  <si>
    <t>1 - REGULAR</t>
  </si>
  <si>
    <t>2 - ESPECIAL</t>
  </si>
  <si>
    <t>3 - NÃO HOUVE INSPEÇÃO</t>
  </si>
  <si>
    <t>1 - NORMAL</t>
  </si>
  <si>
    <t>2 - ATENÇÃO</t>
  </si>
  <si>
    <t>3 - ALERTA</t>
  </si>
  <si>
    <t>4 - EMERGÊNCIA</t>
  </si>
  <si>
    <t>1 - SIM OU VERTEDOURO TIPO SOLEIRA LIVRE</t>
  </si>
  <si>
    <t>2 - NÃO</t>
  </si>
  <si>
    <t>1 - INEXISTENTE (NÃO EXISTEM PESSOAS PERMANENTES/RESIDENTES OU TEMPORÁRIAS/TRANSITANDO NA ÁREA AFETADA A JUSANTE DA BARRAGEM)</t>
  </si>
  <si>
    <t>2 - POUCO FREQUENTE (NÃO EXISTEM PESSOAS OCUPANDO PERMANENTEMENTE A ÁREA AFETADA A JUSANTE DA BARRAGEM, MAS EXISTE ESTRADA VICINAL DE USO  LOCAL)</t>
  </si>
  <si>
    <t>3 - FREQUENTE (NÃO EXISTEM PESSOAS OCUPANDO PERMANENTEMENTE A ÁREA AFETADA A JUSANTE DA BARRAGEM, MAS EXISTE RODOVIA MUNICIPAL, ESTADUAL, FEDERAL OU OUTRO LOCAL E/OU EMPREENDIMENTO DE PERMANÊNCIA EVENTUAL DE PESSOAS QUE PODERÃO SER ATINGIDAS)</t>
  </si>
  <si>
    <t>4 - EXISTENTE (EXISTEM PESSOAS OCUPANDO PERMANENTEMENTE A ÁREA AFETADA A JUSANTE DA BARRAGEM, PORTANTO, VIDAS HUMANAS PODERÃO SER ATINGIDAS)</t>
  </si>
  <si>
    <t>1 - POUCO SIGNIFICATIVO (QUANDO A ÁREA AFETADA DA BARRAGEM NÃO REPRESENTA ÁREA DE INTERESSE AMBIENTAL, ÁREAS PROTEGIDAS EM LEGISLAÇÃO ESPECÍFICA OU ENCONTRA-SE TOTALMENTE DESCARACTERIZADA DE SUAS CONDIÇÕES NATURAIS)</t>
  </si>
  <si>
    <t>2 - SIGNIFICATIVO (QUANDO A ÁREA AFETADA INCLUIR ÁREAS DE PROTEÇÃO DE USO SUSTENTÁVEL - APA, FLONA, RESEX, ETC. - OU QUANDO FOR ÁREA DE INTERESSE AMBIENTAL E ENCONTRAR-SE POUCO DESCARACTERIZADA DE SUAS CONDIÇÕES NATURAIS)</t>
  </si>
  <si>
    <t>3 - MUITO SIGNIFICATIVO (QUANDO A ÁREA AFETADA INCLUIR ÁREAS DE PROTEÇÃO INTEGRAL - ESEC, PARNA, REBIO, ETC. INCLUSIVE TERRAS INDÍGENAS - OU QUANDO FOR DE GRANDE INTERESSE AMBIENTAL EM SEU ESTADO NATURAL)</t>
  </si>
  <si>
    <t>1 - INEXISTENTE (QUANDO NÃO EXISTEM QUAISQUER INSTALAÇÕES E SERVIÇOS DE NAVEGAÇÃO NA ÁREA AFETADA POR ACIDENTE DA BARRAGEM)</t>
  </si>
  <si>
    <t>2 - BAIXO (QUANDO EXISTEM DE 1 A 5 INSTALAÇÕES RESIDENCIAIS E COMERCIAIS, AGRÍCOLAS, INDUSTRIAIS OU INFRAESTRUTURA NA ÁREA AFETADA DA BARRAGEM)</t>
  </si>
  <si>
    <t>3 -MÉDIO (QUANDO EXISTEM MAIS DE 5 ATÉ 30 INSTALAÇÕES RESIDENCIAIS E COMERCIAIS, AGRÍCOLAS, INDUSTRIAIS OU DE INFRAESTRUTURA NA ÁREA AFETADA DA BARRAGEM)</t>
  </si>
  <si>
    <t>4 - ALTO (EXISTE GRANDE CONCENTRAÇÃO DE INSTALAÇÕES RESIDENCIAIS E COMERCIAIS, AGRÍCOLAS, INDUSTRIAIS, DE INFRAESTRUTURA E SERVIÇOS DE LAZER E TURISMO NA ÁREA AFETADA DA BARRAGEM OU INSTALAÇÕES PORTUÁRIAS OU SERVIÇOS DE NAVEGAÇÃO)</t>
  </si>
  <si>
    <t>1 - OUTORGA DE DIREITO DE USO DE RECURSOS HÍDRICOS</t>
  </si>
  <si>
    <t>2 - CADASTRO DE USO INSIGNIFICANTE</t>
  </si>
  <si>
    <t>3 -LICENÇA DE ATIVIDADES OU EMPREENDIMENTOS EFETIVA OU POTENCIALMENTE POLUIDORES</t>
  </si>
  <si>
    <t>4 - NÃO POSSUI</t>
  </si>
  <si>
    <t>1 - NÃO POSSUI ECLUSA</t>
  </si>
  <si>
    <t>2 - ESTRUTURAS CIVIS E HIDROELETROMECÂNICAS BEM MANTIDAS E FUNCIONANDO</t>
  </si>
  <si>
    <t>3 - ESTRUTURAS CIVIS COMPROMETIDAS OU DISPOSITIVOS HIDROELETROMECÂNICOS COM PROBLEMAS IDENTIFICADOS E COM MEDIDAS CORRETIVAS EM IMPLANTAÇÃO</t>
  </si>
  <si>
    <t>4 - ESTRUTURAS CIVIS COMPROMETIDAS OU DISPOSITIVOS HIDROELETROMECÂNICOS COM PROBLEMAS IDENTIFICADOS E SEM MEDIDAS CORRETIVAS</t>
  </si>
  <si>
    <t>PLANO DE SEGURANÇA DE BARRAGEM</t>
  </si>
  <si>
    <r>
      <rPr>
        <b/>
        <sz val="12"/>
        <color theme="1"/>
        <rFont val="Arial"/>
        <family val="2"/>
      </rPr>
      <t>Selecionar</t>
    </r>
    <r>
      <rPr>
        <sz val="12"/>
        <color theme="1"/>
        <rFont val="Arial"/>
        <family val="2"/>
      </rPr>
      <t xml:space="preserve"> quanto a existência de documentação de projeto.</t>
    </r>
  </si>
  <si>
    <r>
      <rPr>
        <b/>
        <sz val="12"/>
        <color theme="1"/>
        <rFont val="Arial"/>
        <family val="2"/>
      </rPr>
      <t>Selecione</t>
    </r>
    <r>
      <rPr>
        <sz val="12"/>
        <color theme="1"/>
        <rFont val="Arial"/>
        <family val="2"/>
      </rPr>
      <t xml:space="preserve"> quanto a emissão de relatórios de inspeção de segurança com análise de interpretação.</t>
    </r>
  </si>
  <si>
    <t>DANO POTENCIAL ASSOCIADO (DPA)</t>
  </si>
  <si>
    <r>
      <rPr>
        <b/>
        <sz val="12"/>
        <color theme="1"/>
        <rFont val="Arial"/>
        <family val="2"/>
      </rPr>
      <t>Selecionar</t>
    </r>
    <r>
      <rPr>
        <sz val="12"/>
        <color theme="1"/>
        <rFont val="Arial"/>
        <family val="2"/>
      </rPr>
      <t xml:space="preserve"> quanto ao impacto ambiental.</t>
    </r>
  </si>
  <si>
    <r>
      <rPr>
        <b/>
        <sz val="12"/>
        <color theme="1"/>
        <rFont val="Arial"/>
        <family val="2"/>
      </rPr>
      <t>Selecionar</t>
    </r>
    <r>
      <rPr>
        <sz val="12"/>
        <color theme="1"/>
        <rFont val="Arial"/>
        <family val="2"/>
      </rPr>
      <t xml:space="preserve"> quanto ao impacto sócio-econômico.</t>
    </r>
  </si>
  <si>
    <r>
      <rPr>
        <b/>
        <sz val="12"/>
        <color theme="1"/>
        <rFont val="Arial"/>
        <family val="2"/>
      </rPr>
      <t>Selecionar</t>
    </r>
    <r>
      <rPr>
        <sz val="12"/>
        <color theme="1"/>
        <rFont val="Arial"/>
        <family val="2"/>
      </rPr>
      <t xml:space="preserve"> se tem Plano de Ação de Emergência para a barragem.</t>
    </r>
  </si>
  <si>
    <r>
      <rPr>
        <b/>
        <sz val="12"/>
        <color theme="1"/>
        <rFont val="Arial"/>
        <family val="2"/>
      </rPr>
      <t>Selecionar</t>
    </r>
    <r>
      <rPr>
        <sz val="12"/>
        <color theme="1"/>
        <rFont val="Arial"/>
        <family val="2"/>
      </rPr>
      <t xml:space="preserve"> se é realizada Revisão Periódica de Segurança da Barragem.</t>
    </r>
  </si>
  <si>
    <t>FORMULÁRIO TÉCNICO PARA CADASTRO DE BARRAGEM</t>
  </si>
  <si>
    <t xml:space="preserve">PARAR VER MODELO DE FORMULÁRIO PREENCHIDO </t>
  </si>
  <si>
    <t>Tipo de Dado</t>
  </si>
  <si>
    <t>Logradouro:</t>
  </si>
  <si>
    <t>Nº:</t>
  </si>
  <si>
    <t>Endereço de correspondência</t>
  </si>
  <si>
    <t xml:space="preserve">Nome do curso d'água barrado: </t>
  </si>
  <si>
    <t>Região hidrográfica:</t>
  </si>
  <si>
    <t>Bacia hidrográfica:</t>
  </si>
  <si>
    <t xml:space="preserve">Sistema de coordenadas do barramento </t>
  </si>
  <si>
    <t>Fase da vida:</t>
  </si>
  <si>
    <t>Data início construção:</t>
  </si>
  <si>
    <t>Data fim da construção:</t>
  </si>
  <si>
    <t>Altura  máxima do maciço acima da base da fundação (m):</t>
  </si>
  <si>
    <t>Altura máxima do maciço acima do nível do terreno  (m):</t>
  </si>
  <si>
    <t>Tipo de barragem quanto ao material de construção:</t>
  </si>
  <si>
    <t>Confiabilidade das estruturas de adução:</t>
  </si>
  <si>
    <t>Eclusa:</t>
  </si>
  <si>
    <t>Estrutura organizacional e qualificação técnica dos profissionais da equipe de Segurança da Barragem:</t>
  </si>
  <si>
    <t>Procedimentos de roteiros de inspeções de segurança e de monitoramento:</t>
  </si>
  <si>
    <t>Relatórios de inspeção de segurança com análise e interpretação:</t>
  </si>
  <si>
    <t>Data da última inspeção periódica de segurança:</t>
  </si>
  <si>
    <t>Tipo da última inspeção:</t>
  </si>
  <si>
    <t>Data da próxima inspeção periódica de segurança:</t>
  </si>
  <si>
    <t>Nível de perigo da barragem:</t>
  </si>
  <si>
    <t>Potencial de perdas de vidas humanas:</t>
  </si>
  <si>
    <t>Impacto ambiental:</t>
  </si>
  <si>
    <t>Impacto sócio-econômico:</t>
  </si>
  <si>
    <t>Tem Plano de Ação de Emergência (PAE):</t>
  </si>
  <si>
    <t>Tipo de autorização:</t>
  </si>
  <si>
    <t>Número da autorização:</t>
  </si>
  <si>
    <t>Data de emissão da autorização/Publicação:</t>
  </si>
  <si>
    <t xml:space="preserve">Validade da autorização: </t>
  </si>
  <si>
    <t>Nome do responsável:</t>
  </si>
  <si>
    <t>Cargo do responsável:</t>
  </si>
  <si>
    <t>Telefone do responsável:</t>
  </si>
  <si>
    <t>Email do responsável:</t>
  </si>
  <si>
    <r>
      <rPr>
        <b/>
        <sz val="12"/>
        <color theme="1"/>
        <rFont val="Arial"/>
        <family val="2"/>
      </rPr>
      <t>Digitar</t>
    </r>
    <r>
      <rPr>
        <sz val="12"/>
        <color theme="1"/>
        <rFont val="Arial"/>
        <family val="2"/>
      </rPr>
      <t xml:space="preserve"> o nome da rua (avenida) do empreendedor para correspondência.</t>
    </r>
  </si>
  <si>
    <r>
      <rPr>
        <b/>
        <sz val="12"/>
        <color theme="1"/>
        <rFont val="Arial"/>
        <family val="2"/>
      </rPr>
      <t>Digitar</t>
    </r>
    <r>
      <rPr>
        <sz val="12"/>
        <color theme="1"/>
        <rFont val="Arial"/>
        <family val="2"/>
      </rPr>
      <t xml:space="preserve"> o nome da rua (avenida/estrada/rodovia) onde se localizada a barragem.</t>
    </r>
  </si>
  <si>
    <r>
      <rPr>
        <b/>
        <sz val="12"/>
        <color theme="1"/>
        <rFont val="Arial"/>
        <family val="2"/>
      </rPr>
      <t>Digitar</t>
    </r>
    <r>
      <rPr>
        <sz val="12"/>
        <color theme="1"/>
        <rFont val="Arial"/>
        <family val="2"/>
      </rPr>
      <t xml:space="preserve"> o e-mail para contato do responsável pelo empreendimento.</t>
    </r>
  </si>
  <si>
    <r>
      <rPr>
        <b/>
        <sz val="12"/>
        <color theme="1"/>
        <rFont val="Arial"/>
        <family val="2"/>
      </rPr>
      <t>Selecionar</t>
    </r>
    <r>
      <rPr>
        <sz val="12"/>
        <color theme="1"/>
        <rFont val="Arial"/>
        <family val="2"/>
      </rPr>
      <t xml:space="preserve"> o munícipio e Unidade de Federação (UF) onde se reside o empreendedor.</t>
    </r>
  </si>
  <si>
    <r>
      <rPr>
        <b/>
        <sz val="12"/>
        <color theme="1"/>
        <rFont val="Arial"/>
        <family val="2"/>
      </rPr>
      <t>Digitar</t>
    </r>
    <r>
      <rPr>
        <sz val="12"/>
        <color theme="1"/>
        <rFont val="Arial"/>
        <family val="2"/>
      </rPr>
      <t xml:space="preserve"> o e-mail para contato do empreendedor.</t>
    </r>
  </si>
  <si>
    <t>E-mail:</t>
  </si>
  <si>
    <r>
      <rPr>
        <b/>
        <sz val="12"/>
        <color theme="1"/>
        <rFont val="Arial"/>
        <family val="2"/>
      </rPr>
      <t>Digitar</t>
    </r>
    <r>
      <rPr>
        <sz val="12"/>
        <color theme="1"/>
        <rFont val="Arial"/>
        <family val="2"/>
      </rPr>
      <t xml:space="preserve"> o número da residência do empreendedor.</t>
    </r>
  </si>
  <si>
    <r>
      <rPr>
        <b/>
        <sz val="12"/>
        <color theme="1"/>
        <rFont val="Arial"/>
        <family val="2"/>
      </rPr>
      <t>Digitar</t>
    </r>
    <r>
      <rPr>
        <sz val="12"/>
        <color theme="1"/>
        <rFont val="Arial"/>
        <family val="2"/>
      </rPr>
      <t xml:space="preserve"> o nome do bairro do empreendedor.</t>
    </r>
  </si>
  <si>
    <r>
      <rPr>
        <b/>
        <sz val="12"/>
        <color theme="1"/>
        <rFont val="Arial"/>
        <family val="2"/>
      </rPr>
      <t>Digitar</t>
    </r>
    <r>
      <rPr>
        <sz val="12"/>
        <color theme="1"/>
        <rFont val="Arial"/>
        <family val="2"/>
      </rPr>
      <t xml:space="preserve"> o nome do bairro onde se localiza a barragem, caso exista.</t>
    </r>
  </si>
  <si>
    <r>
      <rPr>
        <b/>
        <sz val="12"/>
        <color theme="1"/>
        <rFont val="Arial"/>
        <family val="2"/>
      </rPr>
      <t>Selecionar</t>
    </r>
    <r>
      <rPr>
        <sz val="12"/>
        <color theme="1"/>
        <rFont val="Arial"/>
        <family val="2"/>
      </rPr>
      <t xml:space="preserve"> a região hidrográfica  de onde se localiza a barragem. As regiões hidrográficas são estabelecidas pela Resolução do Conselho Nacional de Recursos Hídricos Nº 32, de 15 de outubro de 2003. </t>
    </r>
  </si>
  <si>
    <r>
      <rPr>
        <b/>
        <sz val="12"/>
        <color theme="1"/>
        <rFont val="Arial"/>
        <family val="2"/>
      </rPr>
      <t>Selecionar</t>
    </r>
    <r>
      <rPr>
        <sz val="12"/>
        <color theme="1"/>
        <rFont val="Arial"/>
        <family val="2"/>
      </rPr>
      <t xml:space="preserve"> o nome da bacia hidrográfica a que pertence o curso d´água barrado (curso principal).</t>
    </r>
  </si>
  <si>
    <r>
      <rPr>
        <b/>
        <sz val="12"/>
        <color theme="1"/>
        <rFont val="Arial"/>
        <family val="2"/>
      </rPr>
      <t>Selecionar</t>
    </r>
    <r>
      <rPr>
        <sz val="12"/>
        <color theme="1"/>
        <rFont val="Arial"/>
        <family val="2"/>
      </rPr>
      <t xml:space="preserve"> o domínio do curso d'água barrado. </t>
    </r>
  </si>
  <si>
    <t>Datum de origem das coordenadas geográficas  deve ser em SIRGAS 2000.</t>
  </si>
  <si>
    <r>
      <rPr>
        <b/>
        <sz val="12"/>
        <color indexed="8"/>
        <rFont val="Arial"/>
        <family val="2"/>
      </rPr>
      <t xml:space="preserve">Selecionar </t>
    </r>
    <r>
      <rPr>
        <sz val="12"/>
        <color indexed="8"/>
        <rFont val="Arial"/>
        <family val="2"/>
      </rPr>
      <t>a fase da vida da barragem - Planejamento, Projeto, Construção, Primeiro Enchimento,Operação, Descomissionamento, Inativa.</t>
    </r>
  </si>
  <si>
    <r>
      <rPr>
        <b/>
        <sz val="12"/>
        <color theme="1"/>
        <rFont val="Arial"/>
        <family val="2"/>
      </rPr>
      <t>Selecionar</t>
    </r>
    <r>
      <rPr>
        <sz val="12"/>
        <color theme="1"/>
        <rFont val="Arial"/>
        <family val="2"/>
      </rPr>
      <t xml:space="preserve"> o tipo de material da fundação.</t>
    </r>
  </si>
  <si>
    <r>
      <rPr>
        <b/>
        <sz val="12"/>
        <color theme="1"/>
        <rFont val="Arial"/>
        <family val="2"/>
      </rPr>
      <t>Selecionar</t>
    </r>
    <r>
      <rPr>
        <sz val="12"/>
        <color theme="1"/>
        <rFont val="Arial"/>
        <family val="2"/>
      </rPr>
      <t xml:space="preserve"> quanto a confiabilidade das estruturas de adução. </t>
    </r>
  </si>
  <si>
    <r>
      <rPr>
        <b/>
        <sz val="12"/>
        <color theme="1"/>
        <rFont val="Arial"/>
        <family val="2"/>
      </rPr>
      <t>Selecionar</t>
    </r>
    <r>
      <rPr>
        <sz val="12"/>
        <color theme="1"/>
        <rFont val="Arial"/>
        <family val="2"/>
      </rPr>
      <t xml:space="preserve"> quanto as condições de percolação na barragem.</t>
    </r>
  </si>
  <si>
    <r>
      <rPr>
        <b/>
        <sz val="12"/>
        <color theme="1"/>
        <rFont val="Arial"/>
        <family val="2"/>
      </rPr>
      <t>Selecionar</t>
    </r>
    <r>
      <rPr>
        <sz val="12"/>
        <color theme="1"/>
        <rFont val="Arial"/>
        <family val="2"/>
      </rPr>
      <t xml:space="preserve"> quanto a estrutura organizacional e qualificação técnica dos profissionais da equipe de segurança da barragem.</t>
    </r>
  </si>
  <si>
    <r>
      <rPr>
        <b/>
        <sz val="12"/>
        <color theme="1"/>
        <rFont val="Arial"/>
        <family val="2"/>
      </rPr>
      <t>Selecione</t>
    </r>
    <r>
      <rPr>
        <sz val="12"/>
        <color theme="1"/>
        <rFont val="Arial"/>
        <family val="2"/>
      </rPr>
      <t xml:space="preserve"> sobre os procedimentos de roteiros de inspeções de segurança e de monitoramento.</t>
    </r>
  </si>
  <si>
    <r>
      <rPr>
        <b/>
        <sz val="12"/>
        <color theme="1"/>
        <rFont val="Arial"/>
        <family val="2"/>
      </rPr>
      <t>Selecione</t>
    </r>
    <r>
      <rPr>
        <sz val="12"/>
        <color theme="1"/>
        <rFont val="Arial"/>
        <family val="2"/>
      </rPr>
      <t xml:space="preserve"> sobre a regra operacional dos dispostivos de descarga da barragem.</t>
    </r>
  </si>
  <si>
    <r>
      <rPr>
        <b/>
        <sz val="12"/>
        <color theme="1"/>
        <rFont val="Arial"/>
        <family val="2"/>
      </rPr>
      <t>Selecionar</t>
    </r>
    <r>
      <rPr>
        <sz val="12"/>
        <color theme="1"/>
        <rFont val="Arial"/>
        <family val="2"/>
      </rPr>
      <t xml:space="preserve"> quanto ao tipo da última inspeção.</t>
    </r>
  </si>
  <si>
    <r>
      <rPr>
        <b/>
        <sz val="12"/>
        <color theme="1"/>
        <rFont val="Arial"/>
        <family val="2"/>
      </rPr>
      <t>Selecionar</t>
    </r>
    <r>
      <rPr>
        <sz val="12"/>
        <color theme="1"/>
        <rFont val="Arial"/>
        <family val="2"/>
      </rPr>
      <t xml:space="preserve"> o nível de perigo dado como avaliação final da última inspeção (Normal; Atenção; Alerta; Emergência).</t>
    </r>
  </si>
  <si>
    <r>
      <rPr>
        <b/>
        <sz val="12"/>
        <color theme="1"/>
        <rFont val="Arial"/>
        <family val="2"/>
      </rPr>
      <t>Selecionar</t>
    </r>
    <r>
      <rPr>
        <sz val="12"/>
        <color theme="1"/>
        <rFont val="Arial"/>
        <family val="2"/>
      </rPr>
      <t xml:space="preserve"> quanto ao potencial de perdas de vidas humanas.</t>
    </r>
  </si>
  <si>
    <r>
      <rPr>
        <b/>
        <sz val="12"/>
        <color theme="1"/>
        <rFont val="Arial"/>
        <family val="2"/>
      </rPr>
      <t>Selecionar</t>
    </r>
    <r>
      <rPr>
        <sz val="12"/>
        <color theme="1"/>
        <rFont val="Arial"/>
        <family val="2"/>
      </rPr>
      <t xml:space="preserve"> quanto ao tipo de autorização ambiental.</t>
    </r>
  </si>
  <si>
    <r>
      <rPr>
        <b/>
        <sz val="12"/>
        <color theme="1"/>
        <rFont val="Arial"/>
        <family val="2"/>
      </rPr>
      <t>Digitar</t>
    </r>
    <r>
      <rPr>
        <sz val="12"/>
        <color theme="1"/>
        <rFont val="Arial"/>
        <family val="2"/>
      </rPr>
      <t xml:space="preserve"> os comentários sobre o conteúdo de qualquer campo conforme a necessidade.</t>
    </r>
  </si>
  <si>
    <r>
      <rPr>
        <b/>
        <sz val="12"/>
        <color theme="1"/>
        <rFont val="Arial"/>
        <family val="2"/>
      </rPr>
      <t>Digitar</t>
    </r>
    <r>
      <rPr>
        <sz val="12"/>
        <color theme="1"/>
        <rFont val="Arial"/>
        <family val="2"/>
      </rPr>
      <t xml:space="preserve"> o nome do responsável pelo preenchimento do formulário. </t>
    </r>
  </si>
  <si>
    <r>
      <rPr>
        <b/>
        <sz val="12"/>
        <color theme="1"/>
        <rFont val="Arial"/>
        <family val="2"/>
      </rPr>
      <t>Digitar</t>
    </r>
    <r>
      <rPr>
        <sz val="12"/>
        <color theme="1"/>
        <rFont val="Arial"/>
        <family val="2"/>
      </rPr>
      <t xml:space="preserve"> o cargo do responsável pelo preenchimento do formulário. </t>
    </r>
  </si>
  <si>
    <r>
      <rPr>
        <b/>
        <sz val="12"/>
        <color theme="1"/>
        <rFont val="Arial"/>
        <family val="2"/>
      </rPr>
      <t>Digitar</t>
    </r>
    <r>
      <rPr>
        <sz val="12"/>
        <color theme="1"/>
        <rFont val="Arial"/>
        <family val="2"/>
      </rPr>
      <t xml:space="preserve"> o e-mail do responsável pelo preenchimento do formulário.</t>
    </r>
  </si>
  <si>
    <t>PARA RETORNAR AO FORMULÁRIO PARA CADASTRO DA BARRAGEM</t>
  </si>
  <si>
    <t>CENTRO</t>
  </si>
  <si>
    <t>Latitude:</t>
  </si>
  <si>
    <t>Longitude:</t>
  </si>
  <si>
    <t>Critério para vazão de projeto do vertedor ou estrutura extravasora:</t>
  </si>
  <si>
    <t>Volume total do reservatório (m³):</t>
  </si>
  <si>
    <r>
      <t>Vazão projeto extravasor (m</t>
    </r>
    <r>
      <rPr>
        <vertAlign val="superscript"/>
        <sz val="12"/>
        <color theme="1"/>
        <rFont val="Arial"/>
        <family val="2"/>
      </rPr>
      <t>3</t>
    </r>
    <r>
      <rPr>
        <sz val="12"/>
        <color theme="1"/>
        <rFont val="Arial"/>
        <family val="2"/>
      </rPr>
      <t>/s):</t>
    </r>
  </si>
  <si>
    <r>
      <rPr>
        <b/>
        <sz val="12"/>
        <color theme="1"/>
        <rFont val="Arial"/>
        <family val="2"/>
      </rPr>
      <t>Selecionar</t>
    </r>
    <r>
      <rPr>
        <sz val="12"/>
        <color theme="1"/>
        <rFont val="Arial"/>
        <family val="2"/>
      </rPr>
      <t xml:space="preserve"> se a barragem tem documento de Projeto de "Como construído" - "As build" com localização conhecida.</t>
    </r>
  </si>
  <si>
    <t>Idade da barragem (anos):</t>
  </si>
  <si>
    <r>
      <rPr>
        <b/>
        <sz val="12"/>
        <color theme="1"/>
        <rFont val="Arial"/>
        <family val="2"/>
      </rPr>
      <t>Digitar</t>
    </r>
    <r>
      <rPr>
        <sz val="12"/>
        <color theme="1"/>
        <rFont val="Arial"/>
        <family val="2"/>
      </rPr>
      <t xml:space="preserve"> o número da barragem no CNARH (Cadastro Nacional de Usuários de Recursos Hídricos).</t>
    </r>
  </si>
  <si>
    <r>
      <rPr>
        <b/>
        <sz val="12"/>
        <color theme="1"/>
        <rFont val="Arial"/>
        <family val="2"/>
      </rPr>
      <t>Selecionar</t>
    </r>
    <r>
      <rPr>
        <sz val="12"/>
        <color theme="1"/>
        <rFont val="Arial"/>
        <family val="2"/>
      </rPr>
      <t xml:space="preserve"> se a barragem tem Plano de Segurança de Barragem (PSB).</t>
    </r>
  </si>
  <si>
    <t>CPF:</t>
  </si>
  <si>
    <t>CNPJ:</t>
  </si>
  <si>
    <r>
      <rPr>
        <b/>
        <sz val="12"/>
        <color theme="1"/>
        <rFont val="Arial"/>
        <family val="2"/>
      </rPr>
      <t xml:space="preserve">Digitar </t>
    </r>
    <r>
      <rPr>
        <sz val="12"/>
        <color theme="1"/>
        <rFont val="Arial"/>
        <family val="2"/>
      </rPr>
      <t>o nome pelo qual a barragem é oficialmente ou mais conhecida.</t>
    </r>
  </si>
  <si>
    <r>
      <rPr>
        <b/>
        <sz val="12"/>
        <color theme="1"/>
        <rFont val="Arial"/>
        <family val="2"/>
      </rPr>
      <t>Selecionar</t>
    </r>
    <r>
      <rPr>
        <sz val="12"/>
        <color theme="1"/>
        <rFont val="Arial"/>
        <family val="2"/>
      </rPr>
      <t xml:space="preserve"> o município e Unidade de federação (UF) onde se localiza a barragem.</t>
    </r>
  </si>
  <si>
    <r>
      <rPr>
        <b/>
        <sz val="12"/>
        <color theme="1"/>
        <rFont val="Arial"/>
        <family val="2"/>
      </rPr>
      <t>Digitar</t>
    </r>
    <r>
      <rPr>
        <sz val="12"/>
        <color theme="1"/>
        <rFont val="Arial"/>
        <family val="2"/>
      </rPr>
      <t xml:space="preserve"> o telefone para contato do empreendimento (com código DDD).</t>
    </r>
  </si>
  <si>
    <r>
      <rPr>
        <b/>
        <sz val="12"/>
        <color theme="1"/>
        <rFont val="Arial"/>
        <family val="2"/>
      </rPr>
      <t>Digitar</t>
    </r>
    <r>
      <rPr>
        <sz val="12"/>
        <color theme="1"/>
        <rFont val="Arial"/>
        <family val="2"/>
      </rPr>
      <t xml:space="preserve"> o nome ou razão social do empreendedor.</t>
    </r>
  </si>
  <si>
    <t>A</t>
  </si>
  <si>
    <r>
      <rPr>
        <b/>
        <sz val="12"/>
        <color theme="1"/>
        <rFont val="Arial"/>
        <family val="2"/>
      </rPr>
      <t>Digitar</t>
    </r>
    <r>
      <rPr>
        <sz val="12"/>
        <color theme="1"/>
        <rFont val="Arial"/>
        <family val="2"/>
      </rPr>
      <t xml:space="preserve"> o complemento de onde reside o empreendedor, caso houver.</t>
    </r>
  </si>
  <si>
    <r>
      <rPr>
        <b/>
        <sz val="12"/>
        <color theme="1"/>
        <rFont val="Arial"/>
        <family val="2"/>
      </rPr>
      <t>Digitar</t>
    </r>
    <r>
      <rPr>
        <sz val="12"/>
        <color theme="1"/>
        <rFont val="Arial"/>
        <family val="2"/>
      </rPr>
      <t xml:space="preserve"> o número do celular ou outro telefone do empreendedor (com código DDD).</t>
    </r>
  </si>
  <si>
    <r>
      <rPr>
        <b/>
        <sz val="12"/>
        <color theme="1"/>
        <rFont val="Arial"/>
        <family val="2"/>
      </rPr>
      <t>Digitar</t>
    </r>
    <r>
      <rPr>
        <sz val="12"/>
        <color theme="1"/>
        <rFont val="Arial"/>
        <family val="2"/>
      </rPr>
      <t xml:space="preserve"> o CEP de onde se localiza a barragem, caso exista. O CEP é composto 8 números.</t>
    </r>
  </si>
  <si>
    <t>ORIENTAÇÕES:</t>
  </si>
  <si>
    <r>
      <t xml:space="preserve">Segue abaixo o </t>
    </r>
    <r>
      <rPr>
        <b/>
        <sz val="14"/>
        <color theme="1"/>
        <rFont val="Calibri"/>
        <family val="2"/>
        <scheme val="minor"/>
      </rPr>
      <t>Fomulário Técnico para Cadastro de Barragem</t>
    </r>
    <r>
      <rPr>
        <sz val="14"/>
        <color theme="1"/>
        <rFont val="Calibri"/>
        <family val="2"/>
        <scheme val="minor"/>
      </rPr>
      <t xml:space="preserve"> e para cada célula há uma </t>
    </r>
    <r>
      <rPr>
        <b/>
        <sz val="14"/>
        <color theme="1"/>
        <rFont val="Calibri"/>
        <family val="2"/>
        <scheme val="minor"/>
      </rPr>
      <t>Instrução de Preenchimento</t>
    </r>
    <r>
      <rPr>
        <sz val="14"/>
        <color theme="1"/>
        <rFont val="Calibri"/>
        <family val="2"/>
        <scheme val="minor"/>
      </rPr>
      <t xml:space="preserve"> ao lado. </t>
    </r>
  </si>
  <si>
    <r>
      <rPr>
        <b/>
        <sz val="12"/>
        <color theme="1"/>
        <rFont val="Arial"/>
        <family val="2"/>
      </rPr>
      <t>Digitar</t>
    </r>
    <r>
      <rPr>
        <sz val="12"/>
        <color theme="1"/>
        <rFont val="Arial"/>
        <family val="2"/>
      </rPr>
      <t xml:space="preserve"> o CEP do empreendedor. O CEP é composto 8 números.</t>
    </r>
  </si>
  <si>
    <t>Data</t>
  </si>
  <si>
    <t>Calculadora Geográfica</t>
  </si>
  <si>
    <t>Como exemplo, será utilizado as coordenadas geográficas de Belo Horizonte</t>
  </si>
  <si>
    <t>Latitude: 19° 48' 57''</t>
  </si>
  <si>
    <t>Longitude: 43° 57''15''</t>
  </si>
  <si>
    <t>Na tela de projeção de saída, selecione o Datum de saída (SIRGAS 2000) e clique em avançar.</t>
  </si>
  <si>
    <r>
      <rPr>
        <b/>
        <sz val="12"/>
        <color theme="1"/>
        <rFont val="Arial"/>
        <family val="2"/>
      </rPr>
      <t>Selecionar</t>
    </r>
    <r>
      <rPr>
        <sz val="12"/>
        <color theme="1"/>
        <rFont val="Arial"/>
        <family val="2"/>
      </rPr>
      <t xml:space="preserve"> o nome da Unidade de Planejamento e Gestão de Recursos Hídricos adotado pelo estado. Para consultar a UPGRH onde se localiza a barragem  </t>
    </r>
  </si>
  <si>
    <t xml:space="preserve">Aparecerá os limites das Unidades de Planejamento de Gestão de Recursos Hídricos. </t>
  </si>
  <si>
    <t xml:space="preserve">Selecione: </t>
  </si>
  <si>
    <t xml:space="preserve">Regionalização administrativa (SEMAD/IEF/IGAM)   </t>
  </si>
  <si>
    <t xml:space="preserve">Unidade de Planejamento e Gestão de Recursos Hídricos </t>
  </si>
  <si>
    <t xml:space="preserve">FERRAMENTAS DE DESENHO </t>
  </si>
  <si>
    <t>Inserir coordenadas</t>
  </si>
  <si>
    <t xml:space="preserve">     Aparecerá a camada - Ferramentas de desenho</t>
  </si>
  <si>
    <t xml:space="preserve">Inserir as coordenadas geográficas em graus decimais </t>
  </si>
  <si>
    <t>Após inserir as coordenadas aparecerá o ponto no mapa</t>
  </si>
  <si>
    <t xml:space="preserve">Limites </t>
  </si>
  <si>
    <t xml:space="preserve"> Os campos de preenchimento obrigatório mudam para a cor                                quando são preenchidos.</t>
  </si>
  <si>
    <t>ABASTECIMENTO PÚBLICO</t>
  </si>
  <si>
    <t>ASPERSÃO DE VIAS</t>
  </si>
  <si>
    <t>CLARIFICAÇÃO DE ÁGUA</t>
  </si>
  <si>
    <t>CONSUMO AGROINDUSTRIAL</t>
  </si>
  <si>
    <t>CONTENÇÃO DE SEDIMENTOS</t>
  </si>
  <si>
    <t>CONSUMO HUMANO</t>
  </si>
  <si>
    <t>CONSUMO INDUSTRIAL</t>
  </si>
  <si>
    <t>LAVAGEM DE VEÍCULOS</t>
  </si>
  <si>
    <t>TRANSPOSIÇÃO DE NÍVEL (ECLUSA)</t>
  </si>
  <si>
    <r>
      <rPr>
        <b/>
        <sz val="12"/>
        <color theme="1"/>
        <rFont val="Arial"/>
        <family val="2"/>
      </rPr>
      <t xml:space="preserve">Selecionar </t>
    </r>
    <r>
      <rPr>
        <sz val="12"/>
        <color theme="1"/>
        <rFont val="Arial"/>
        <family val="2"/>
      </rPr>
      <t>o uso principal do reservatório (ou da água nele acumulada) para o qual a barragem foi construída.</t>
    </r>
  </si>
  <si>
    <r>
      <rPr>
        <b/>
        <sz val="12"/>
        <color theme="1"/>
        <rFont val="Arial"/>
        <family val="2"/>
      </rPr>
      <t xml:space="preserve">Digitar </t>
    </r>
    <r>
      <rPr>
        <sz val="12"/>
        <color theme="1"/>
        <rFont val="Arial"/>
        <family val="2"/>
      </rPr>
      <t>o uso principal do reservatório (ou da água nele acumulada) para o qual a barragem foi construída, caso tenha sido selecionado a opção "OUTROS".</t>
    </r>
  </si>
  <si>
    <r>
      <rPr>
        <b/>
        <sz val="12"/>
        <color theme="1"/>
        <rFont val="Arial"/>
        <family val="2"/>
      </rPr>
      <t>Digitar</t>
    </r>
    <r>
      <rPr>
        <sz val="12"/>
        <color theme="1"/>
        <rFont val="Arial"/>
        <family val="2"/>
      </rPr>
      <t xml:space="preserve"> outros usos da água do reservatório além do uso preponderante. Segundo uso mais importante caso tenha sido selecionado a opção "OUTROS".</t>
    </r>
  </si>
  <si>
    <t>Qual?</t>
  </si>
  <si>
    <t>Uso principal da barragem:</t>
  </si>
  <si>
    <t>Uso secundário da barragem:</t>
  </si>
  <si>
    <t>EM DESCOMISSIONAMENTO</t>
  </si>
  <si>
    <t>Situação da barragem:</t>
  </si>
  <si>
    <r>
      <rPr>
        <b/>
        <sz val="12"/>
        <color theme="1"/>
        <rFont val="Arial"/>
        <family val="2"/>
      </rPr>
      <t>Digitar</t>
    </r>
    <r>
      <rPr>
        <sz val="12"/>
        <color theme="1"/>
        <rFont val="Arial"/>
        <family val="2"/>
      </rPr>
      <t xml:space="preserve"> o ano do início da construção da barragem - Formato: (DD/MM/AAAA).</t>
    </r>
  </si>
  <si>
    <r>
      <rPr>
        <b/>
        <sz val="12"/>
        <color theme="1"/>
        <rFont val="Arial"/>
        <family val="2"/>
      </rPr>
      <t>Digitar</t>
    </r>
    <r>
      <rPr>
        <sz val="12"/>
        <color theme="1"/>
        <rFont val="Arial"/>
        <family val="2"/>
      </rPr>
      <t xml:space="preserve"> o ano do término da construção da barragem - Formato: (DD/MM/AAAA).</t>
    </r>
  </si>
  <si>
    <r>
      <rPr>
        <b/>
        <sz val="12"/>
        <color theme="1"/>
        <rFont val="Arial"/>
        <family val="2"/>
      </rPr>
      <t>Digitar</t>
    </r>
    <r>
      <rPr>
        <sz val="12"/>
        <color theme="1"/>
        <rFont val="Arial"/>
        <family val="2"/>
      </rPr>
      <t xml:space="preserve"> a previsão para o fim de operação da barragem - Formato: (DD/MM/AAAA), caso haja previsão.</t>
    </r>
  </si>
  <si>
    <r>
      <rPr>
        <b/>
        <sz val="12"/>
        <color theme="1"/>
        <rFont val="Arial"/>
        <family val="2"/>
      </rPr>
      <t>Digitar</t>
    </r>
    <r>
      <rPr>
        <sz val="12"/>
        <color theme="1"/>
        <rFont val="Arial"/>
        <family val="2"/>
      </rPr>
      <t xml:space="preserve"> a última data de inspeção de segurança da barragem - Formato: (DD/MM/AAAA).</t>
    </r>
  </si>
  <si>
    <r>
      <rPr>
        <b/>
        <sz val="12"/>
        <color theme="1"/>
        <rFont val="Arial"/>
        <family val="2"/>
      </rPr>
      <t>Digitar</t>
    </r>
    <r>
      <rPr>
        <sz val="12"/>
        <color theme="1"/>
        <rFont val="Arial"/>
        <family val="2"/>
      </rPr>
      <t xml:space="preserve"> a data da próxima inspeção de segurança da barragem - Formato: (DD/MM/AAAA).</t>
    </r>
  </si>
  <si>
    <r>
      <rPr>
        <b/>
        <sz val="12"/>
        <color theme="1"/>
        <rFont val="Arial"/>
        <family val="2"/>
      </rPr>
      <t>Digitar</t>
    </r>
    <r>
      <rPr>
        <sz val="12"/>
        <color theme="1"/>
        <rFont val="Arial"/>
        <family val="2"/>
      </rPr>
      <t xml:space="preserve"> a data em que o documento de autorização foi emitido ou publicado no DOU ou DOE - Formato: (DD/MM/AAAA).</t>
    </r>
  </si>
  <si>
    <r>
      <rPr>
        <b/>
        <sz val="12"/>
        <color theme="1"/>
        <rFont val="Arial"/>
        <family val="2"/>
      </rPr>
      <t>Digitar</t>
    </r>
    <r>
      <rPr>
        <sz val="12"/>
        <color theme="1"/>
        <rFont val="Arial"/>
        <family val="2"/>
      </rPr>
      <t xml:space="preserve"> a data em que vence a autorização - Formato: (DD/MM/AAAA).</t>
    </r>
  </si>
  <si>
    <t>Possui projeto de "como construído" - "As Build"?</t>
  </si>
  <si>
    <t>Possui projeto Executivo?</t>
  </si>
  <si>
    <t>Possui projeto básico?</t>
  </si>
  <si>
    <t>Se selecionou outros, especifique qual?</t>
  </si>
  <si>
    <t>Se selecionou sim, qual tipo?</t>
  </si>
  <si>
    <t>Possui?</t>
  </si>
  <si>
    <t>PROJETO BÁSICO/PROJETO EXECUTIVO/PROJETO DE "COMO CONSTRUÍDO" - "AS BUILD"/POSSUI VERTEDOR OU ESTRUTURA EXTRAVASORA/</t>
  </si>
  <si>
    <t>SISTEMA EXTRAVASOR DE EMERGÊNCIA</t>
  </si>
  <si>
    <t>Sistema extravasor de emergência:</t>
  </si>
  <si>
    <t>VERTEDOR</t>
  </si>
  <si>
    <t>CANAL ESCAVADO</t>
  </si>
  <si>
    <t>MANILHA DE CONCRETO</t>
  </si>
  <si>
    <t>BUEIRO</t>
  </si>
  <si>
    <t>NÃO POSSUI</t>
  </si>
  <si>
    <t>TULIPA</t>
  </si>
  <si>
    <t>SOLEIRA LIVRE</t>
  </si>
  <si>
    <r>
      <rPr>
        <b/>
        <sz val="12"/>
        <color theme="1"/>
        <rFont val="Arial"/>
        <family val="2"/>
      </rPr>
      <t>Selecionar</t>
    </r>
    <r>
      <rPr>
        <sz val="12"/>
        <color theme="1"/>
        <rFont val="Arial"/>
        <family val="2"/>
      </rPr>
      <t xml:space="preserve"> se a barragem possui sistema extravasor de emergência.</t>
    </r>
  </si>
  <si>
    <r>
      <rPr>
        <b/>
        <sz val="12"/>
        <color theme="1"/>
        <rFont val="Arial"/>
        <family val="2"/>
      </rPr>
      <t>Selecionar</t>
    </r>
    <r>
      <rPr>
        <sz val="12"/>
        <color theme="1"/>
        <rFont val="Arial"/>
        <family val="2"/>
      </rPr>
      <t xml:space="preserve"> o tipo de sistema extravasor de emergência que a barragem possui.</t>
    </r>
  </si>
  <si>
    <t>PESO</t>
  </si>
  <si>
    <t>ALTURA</t>
  </si>
  <si>
    <t>15&lt;ALTURA&lt;30</t>
  </si>
  <si>
    <t>ALTURA&gt;60</t>
  </si>
  <si>
    <t>RESULTADO</t>
  </si>
  <si>
    <t>30&lt;=ALTURA&lt;=60</t>
  </si>
  <si>
    <t>COMPRIMENTO</t>
  </si>
  <si>
    <t>ALTURA&lt;=15</t>
  </si>
  <si>
    <t>COMPRIMENTO&gt;200</t>
  </si>
  <si>
    <t>COMPRIMENTO&lt;=200</t>
  </si>
  <si>
    <t>CMP (CHEIA MÁXIMA PROVÁVEL) OU DECAMILENAR</t>
  </si>
  <si>
    <t xml:space="preserve">TR &lt; 500 ANOS </t>
  </si>
  <si>
    <t>DESCONHECIDA</t>
  </si>
  <si>
    <t>CARACTERÍSTICAS TÉCNICAS</t>
  </si>
  <si>
    <t>TOTAL</t>
  </si>
  <si>
    <t>QUADRO CLASSIFICAÇÃO</t>
  </si>
  <si>
    <t>ESTADO DE CONSERVAÇÃO</t>
  </si>
  <si>
    <t>ECLUSA</t>
  </si>
  <si>
    <t>PLANO DE SEGURANÇA DA BARRAGEM</t>
  </si>
  <si>
    <t>VOLUME TOTAL DO RESERVATÓRIO</t>
  </si>
  <si>
    <t>MÉDIO 5 MILHÕES A 75 MILHÕES m3</t>
  </si>
  <si>
    <t>GRANDE 75 MILHÕES A 200 MILHÕES m3</t>
  </si>
  <si>
    <t>MUITO GRANDE &gt; 200 MILHÕES m3</t>
  </si>
  <si>
    <t>PEQUENO &lt; = 5 MILHÕES m3</t>
  </si>
  <si>
    <t>DANO POTENCIAL ASSOCIADO</t>
  </si>
  <si>
    <t>TOTAL - DPA</t>
  </si>
  <si>
    <t>TOTAL - CRI</t>
  </si>
  <si>
    <t>PERÍODO DE RETORNO MENOR QUE 25 ANOS</t>
  </si>
  <si>
    <t>PERÍODO DE RETORNO MAIOR OU IGUAL A 25 E MENOR QUE 50 ANOS</t>
  </si>
  <si>
    <t>PERÍODO DE RETORNO MAIOR OU IGUAL A 50 E MENOR QUE 100 ANOS</t>
  </si>
  <si>
    <t>PERÍODO DE RETORNO MAIOR OU IGUAL A 100 E MENOR QUE 250 ANOS</t>
  </si>
  <si>
    <t>PERÍODO DE RETORNO MAIOR OU IGUAL A 250 E MENOR QUE 500 ANOS</t>
  </si>
  <si>
    <t>Controle do extravasor:</t>
  </si>
  <si>
    <r>
      <rPr>
        <b/>
        <sz val="12"/>
        <color theme="1"/>
        <rFont val="Arial"/>
        <family val="2"/>
      </rPr>
      <t>Digitar</t>
    </r>
    <r>
      <rPr>
        <sz val="12"/>
        <color theme="1"/>
        <rFont val="Arial"/>
        <family val="2"/>
      </rPr>
      <t xml:space="preserve"> o comprimento da barragem principal ao longo do coroamento (m). Digite somente os números considerando  </t>
    </r>
    <r>
      <rPr>
        <sz val="12"/>
        <color rgb="FFFF0000"/>
        <rFont val="Arial"/>
        <family val="2"/>
      </rPr>
      <t>2 casas decimais</t>
    </r>
    <r>
      <rPr>
        <sz val="12"/>
        <color theme="1"/>
        <rFont val="Arial"/>
        <family val="2"/>
      </rPr>
      <t xml:space="preserve"> após o ponto.</t>
    </r>
  </si>
  <si>
    <r>
      <rPr>
        <b/>
        <sz val="12"/>
        <color theme="1"/>
        <rFont val="Arial"/>
        <family val="2"/>
      </rPr>
      <t>Digitar</t>
    </r>
    <r>
      <rPr>
        <sz val="12"/>
        <color theme="1"/>
        <rFont val="Arial"/>
        <family val="2"/>
      </rPr>
      <t xml:space="preserve"> a altura do maciço, contada do ponto mais baixo da fundação à crista (m). Digite somente os números considerando  </t>
    </r>
    <r>
      <rPr>
        <sz val="12"/>
        <color rgb="FFFF0000"/>
        <rFont val="Arial"/>
        <family val="2"/>
      </rPr>
      <t>2 casas decimais</t>
    </r>
    <r>
      <rPr>
        <sz val="12"/>
        <color theme="1"/>
        <rFont val="Arial"/>
        <family val="2"/>
      </rPr>
      <t xml:space="preserve"> após o ponto.</t>
    </r>
  </si>
  <si>
    <r>
      <rPr>
        <b/>
        <sz val="12"/>
        <color theme="1"/>
        <rFont val="Arial"/>
        <family val="2"/>
      </rPr>
      <t>Digitar</t>
    </r>
    <r>
      <rPr>
        <sz val="12"/>
        <color theme="1"/>
        <rFont val="Arial"/>
        <family val="2"/>
      </rPr>
      <t xml:space="preserve"> a latitude do posicionamento geográfico do maciço da barragem em </t>
    </r>
    <r>
      <rPr>
        <u/>
        <sz val="12"/>
        <color theme="1"/>
        <rFont val="Arial"/>
        <family val="2"/>
      </rPr>
      <t>graus decimais</t>
    </r>
    <r>
      <rPr>
        <sz val="12"/>
        <color theme="1"/>
        <rFont val="Arial"/>
        <family val="2"/>
      </rPr>
      <t xml:space="preserve">. Digite somente os números considerando  </t>
    </r>
    <r>
      <rPr>
        <sz val="12"/>
        <color rgb="FFFF0000"/>
        <rFont val="Arial"/>
        <family val="2"/>
      </rPr>
      <t>6 casas decimais</t>
    </r>
    <r>
      <rPr>
        <sz val="12"/>
        <color theme="1"/>
        <rFont val="Arial"/>
        <family val="2"/>
      </rPr>
      <t xml:space="preserve"> após o ponto.</t>
    </r>
  </si>
  <si>
    <r>
      <rPr>
        <b/>
        <sz val="12"/>
        <color theme="1"/>
        <rFont val="Arial"/>
        <family val="2"/>
      </rPr>
      <t>Digitar</t>
    </r>
    <r>
      <rPr>
        <sz val="12"/>
        <color theme="1"/>
        <rFont val="Arial"/>
        <family val="2"/>
      </rPr>
      <t xml:space="preserve"> a longitude do posicionamento geográfico do maciço da barragem em </t>
    </r>
    <r>
      <rPr>
        <u/>
        <sz val="12"/>
        <color theme="1"/>
        <rFont val="Arial"/>
        <family val="2"/>
      </rPr>
      <t>graus decimais</t>
    </r>
    <r>
      <rPr>
        <sz val="12"/>
        <color theme="1"/>
        <rFont val="Arial"/>
        <family val="2"/>
      </rPr>
      <t xml:space="preserve">. Digite somente os números considerando  </t>
    </r>
    <r>
      <rPr>
        <sz val="12"/>
        <color rgb="FFFF0000"/>
        <rFont val="Arial"/>
        <family val="2"/>
      </rPr>
      <t xml:space="preserve">6 casas decimais </t>
    </r>
    <r>
      <rPr>
        <sz val="12"/>
        <color theme="1"/>
        <rFont val="Arial"/>
        <family val="2"/>
      </rPr>
      <t>após o ponto.</t>
    </r>
  </si>
  <si>
    <r>
      <rPr>
        <b/>
        <sz val="12"/>
        <color theme="1"/>
        <rFont val="Arial"/>
        <family val="2"/>
      </rPr>
      <t>Digitar</t>
    </r>
    <r>
      <rPr>
        <sz val="12"/>
        <color theme="1"/>
        <rFont val="Arial"/>
        <family val="2"/>
      </rPr>
      <t xml:space="preserve"> a altura máxima do maciço acima do nível do terreno (m). Digite somente os números considerando  </t>
    </r>
    <r>
      <rPr>
        <sz val="12"/>
        <color rgb="FFFF0000"/>
        <rFont val="Arial"/>
        <family val="2"/>
      </rPr>
      <t>2 casas decimais</t>
    </r>
    <r>
      <rPr>
        <sz val="12"/>
        <color theme="1"/>
        <rFont val="Arial"/>
        <family val="2"/>
      </rPr>
      <t xml:space="preserve"> após o ponto.</t>
    </r>
  </si>
  <si>
    <r>
      <rPr>
        <b/>
        <sz val="12"/>
        <color theme="1"/>
        <rFont val="Arial"/>
        <family val="2"/>
      </rPr>
      <t>Digitar</t>
    </r>
    <r>
      <rPr>
        <sz val="12"/>
        <color theme="1"/>
        <rFont val="Arial"/>
        <family val="2"/>
      </rPr>
      <t xml:space="preserve"> a vazão de projeto do órgão extravasor, em m³/s. Digite somente os números considerando  </t>
    </r>
    <r>
      <rPr>
        <sz val="12"/>
        <color rgb="FFFF0000"/>
        <rFont val="Arial"/>
        <family val="2"/>
      </rPr>
      <t>2 casas decimais</t>
    </r>
    <r>
      <rPr>
        <sz val="12"/>
        <color theme="1"/>
        <rFont val="Arial"/>
        <family val="2"/>
      </rPr>
      <t xml:space="preserve"> após o ponto.</t>
    </r>
  </si>
  <si>
    <r>
      <rPr>
        <b/>
        <sz val="12"/>
        <color theme="1"/>
        <rFont val="Arial"/>
        <family val="2"/>
      </rPr>
      <t>Selecionar</t>
    </r>
    <r>
      <rPr>
        <sz val="12"/>
        <color theme="1"/>
        <rFont val="Arial"/>
        <family val="2"/>
      </rPr>
      <t xml:space="preserve"> o mecanismo de controle de vazão do órgão extravasor.</t>
    </r>
  </si>
  <si>
    <t>Comprimento do reservatório (m):</t>
  </si>
  <si>
    <r>
      <rPr>
        <b/>
        <sz val="12"/>
        <color theme="1"/>
        <rFont val="Arial"/>
        <family val="2"/>
      </rPr>
      <t>Digitar</t>
    </r>
    <r>
      <rPr>
        <sz val="12"/>
        <color theme="1"/>
        <rFont val="Arial"/>
        <family val="2"/>
      </rPr>
      <t xml:space="preserve"> o volume total do reservatório (m</t>
    </r>
    <r>
      <rPr>
        <vertAlign val="superscript"/>
        <sz val="12"/>
        <color theme="1"/>
        <rFont val="Arial"/>
        <family val="2"/>
      </rPr>
      <t>3</t>
    </r>
    <r>
      <rPr>
        <sz val="12"/>
        <color theme="1"/>
        <rFont val="Arial"/>
        <family val="2"/>
      </rPr>
      <t>). Digite somente número inteiro.</t>
    </r>
  </si>
  <si>
    <r>
      <rPr>
        <b/>
        <sz val="12"/>
        <color theme="1"/>
        <rFont val="Arial"/>
        <family val="2"/>
      </rPr>
      <t>Digitar</t>
    </r>
    <r>
      <rPr>
        <sz val="12"/>
        <color theme="1"/>
        <rFont val="Arial"/>
        <family val="2"/>
      </rPr>
      <t xml:space="preserve"> o comprimento do reservatório (m) considerando do maciço até o ponto mais longínquo. </t>
    </r>
  </si>
  <si>
    <t>Comprimento do coroamento da barragem (m):</t>
  </si>
  <si>
    <r>
      <rPr>
        <b/>
        <sz val="12"/>
        <color theme="1"/>
        <rFont val="Arial"/>
        <family val="2"/>
      </rPr>
      <t>Digitar</t>
    </r>
    <r>
      <rPr>
        <sz val="12"/>
        <color theme="1"/>
        <rFont val="Arial"/>
        <family val="2"/>
      </rPr>
      <t xml:space="preserve"> a largura do coroamento da barragem (m). Digite somente os números considerando  </t>
    </r>
    <r>
      <rPr>
        <sz val="12"/>
        <color rgb="FFFF0000"/>
        <rFont val="Arial"/>
        <family val="2"/>
      </rPr>
      <t>2 casas decimais</t>
    </r>
    <r>
      <rPr>
        <sz val="12"/>
        <color theme="1"/>
        <rFont val="Arial"/>
        <family val="2"/>
      </rPr>
      <t xml:space="preserve"> após o ponto.</t>
    </r>
  </si>
  <si>
    <r>
      <rPr>
        <b/>
        <sz val="12"/>
        <color theme="1"/>
        <rFont val="Arial"/>
        <family val="2"/>
      </rPr>
      <t>Selecionar</t>
    </r>
    <r>
      <rPr>
        <sz val="12"/>
        <color theme="1"/>
        <rFont val="Arial"/>
        <family val="2"/>
      </rPr>
      <t xml:space="preserve"> o tipo do material da barragem quanto ao material de construção.</t>
    </r>
  </si>
  <si>
    <r>
      <rPr>
        <b/>
        <sz val="12"/>
        <color theme="1"/>
        <rFont val="Arial"/>
        <family val="2"/>
      </rPr>
      <t>Selecionar</t>
    </r>
    <r>
      <rPr>
        <sz val="12"/>
        <color theme="1"/>
        <rFont val="Arial"/>
        <family val="2"/>
      </rPr>
      <t xml:space="preserve"> o tipo estrutural da barragem.</t>
    </r>
  </si>
  <si>
    <t>4 - NÃO POSSUI ESTRUTURAS DE ADUÇÃO</t>
  </si>
  <si>
    <t>SOLO COMPACTADO</t>
  </si>
  <si>
    <t>SOLO COMPACTADO COM CONTROLE DE QUALIDADE</t>
  </si>
  <si>
    <t>PERGUNTAS SIM/NÃO</t>
  </si>
  <si>
    <r>
      <rPr>
        <b/>
        <sz val="12"/>
        <color theme="1"/>
        <rFont val="Arial"/>
        <family val="2"/>
      </rPr>
      <t>Digitar</t>
    </r>
    <r>
      <rPr>
        <sz val="12"/>
        <color theme="1"/>
        <rFont val="Arial"/>
        <family val="2"/>
      </rPr>
      <t xml:space="preserve"> o número do documento de autorização (Licença/Outorga/Cadastro de Uso Insignificante) seguido do ano com </t>
    </r>
    <r>
      <rPr>
        <sz val="12"/>
        <color rgb="FFFF0000"/>
        <rFont val="Arial"/>
        <family val="2"/>
      </rPr>
      <t>4 dígitos.</t>
    </r>
    <r>
      <rPr>
        <sz val="12"/>
        <rFont val="Arial"/>
        <family val="2"/>
      </rPr>
      <t xml:space="preserve"> - Formato: número/XXXX. Não precisa digitar barra.</t>
    </r>
  </si>
  <si>
    <t>CLASSIFICAÇÃO DO EMPREENDIMENTO</t>
  </si>
  <si>
    <t>DOCUMENTOS QUE DEVEM SER APRESENTADOS</t>
  </si>
  <si>
    <t>DANO POTENCIAL ASSOCIADO - DPA</t>
  </si>
  <si>
    <t>´</t>
  </si>
  <si>
    <t>PERÍODO DE RETORNO = 500 ANOS</t>
  </si>
  <si>
    <r>
      <rPr>
        <b/>
        <sz val="12"/>
        <color theme="1"/>
        <rFont val="Arial"/>
        <family val="2"/>
      </rPr>
      <t>Selecionar</t>
    </r>
    <r>
      <rPr>
        <sz val="12"/>
        <color theme="1"/>
        <rFont val="Arial"/>
        <family val="2"/>
      </rPr>
      <t xml:space="preserve"> o critério utilizado para o cálculo da vazão de projeto. Cheia Máxima Provável ou Período de retorno da vazão de projeto do vertedor ou estrutura extravasora em anos.</t>
    </r>
  </si>
  <si>
    <t>ENTRE 5 E 10 ANOS</t>
  </si>
  <si>
    <t>ALTO</t>
  </si>
  <si>
    <t>MÉDIO</t>
  </si>
  <si>
    <t>BAIXO</t>
  </si>
  <si>
    <t>CRI</t>
  </si>
  <si>
    <t>&gt;=60</t>
  </si>
  <si>
    <t>35 A 60</t>
  </si>
  <si>
    <t>&lt;=35</t>
  </si>
  <si>
    <t>EC &gt;=8</t>
  </si>
  <si>
    <t>CRI DO EMPRENDIMENTO</t>
  </si>
  <si>
    <t>DPA</t>
  </si>
  <si>
    <t>CLASSIFICAÇÃO QUANTO À CATEGORIA DE RISCO</t>
  </si>
  <si>
    <t>CLASSIFICAÇÃO QUANTO AO DPA</t>
  </si>
  <si>
    <t>&gt;=16</t>
  </si>
  <si>
    <t>10&lt;DPA&lt;16</t>
  </si>
  <si>
    <t>DPA DO EMPREENDIMENTO</t>
  </si>
  <si>
    <t>EC EMPREENDIMENTO</t>
  </si>
  <si>
    <t>&lt;=10</t>
  </si>
  <si>
    <t>CONCATENAR CRI E DPA</t>
  </si>
  <si>
    <t>CLASSIFICAÇÃO</t>
  </si>
  <si>
    <t>B</t>
  </si>
  <si>
    <t>C</t>
  </si>
  <si>
    <t>D</t>
  </si>
  <si>
    <t>CRI CONCATENADO DPA EMPREENDIMENTO</t>
  </si>
  <si>
    <t>MATRIZ CLASSIFICAÇÃO QUANTO A CRI E DPA</t>
  </si>
  <si>
    <t>CLASSES</t>
  </si>
  <si>
    <t>DOCUMENTOS</t>
  </si>
  <si>
    <t>RESULTADO DO PREENCHIMENTO DO FORMULÁRIO</t>
  </si>
  <si>
    <t>ALTURA (m)</t>
  </si>
  <si>
    <t>VOLUME (m3)</t>
  </si>
  <si>
    <t>ENQUADRAMENTO NA PNSB</t>
  </si>
  <si>
    <t>AVALIAÇÃO ENQUADRAMENTO NA PNSB</t>
  </si>
  <si>
    <t>MENSAGEM</t>
  </si>
  <si>
    <t>RESULTADO PARA VINCULAR A LISTAGEM DOS DOCUMENTOS.</t>
  </si>
  <si>
    <t xml:space="preserve">A barragem se enquadra no parágrafo único do artigo 1° da lei federal nº 12.334, de 20 de setembro de 2010, portanto, se aplicam os dispositivos estabelecidos na portaria igam nº 02, de 12 de fevereiro de 2019. Para tanto, o empreendedor deverá elaborar os seguintes documentos, observando-se o prazo estabelecido: </t>
  </si>
  <si>
    <t xml:space="preserve">•   	Plano de Segurança de Barragens - PSB;
•   	Plano de Ação de Emergência - PAE; 
•   	Revisão Periódica de Segurança de Segurança de Barragem    
PRAZO: 1 ANO                                                                                                                                                            </t>
  </si>
  <si>
    <t>A barragem não se enquadra no parágrafo único do artigo 1° da lei federal nº 12.334, de 20 de setembro de 2010, portanto, não se aplicam os dispositivos estabelecidos na portaria Igam nº 02, de 12 de fevereiro de 2019. No entanto, as informações de sua barragem deverão ser mantidas atualizadas no banco de dados dos Instituto Mineiro de Gestão das Águas.</t>
  </si>
  <si>
    <t>Os campos listados abaixo são de preenchimento obrigatório:</t>
  </si>
  <si>
    <t>Todos os campos obrigatórios foram preenchidos adequadamente, vá para impressão de formulário.</t>
  </si>
  <si>
    <t>VERIFICAÇÃO PREENCHIMENTO</t>
  </si>
  <si>
    <t>Somatorio campos não preenchidos</t>
  </si>
  <si>
    <t>Mensagens após preenchimento</t>
  </si>
  <si>
    <t>Verificação de preenchimento</t>
  </si>
  <si>
    <t>Concatenar campos não preenchidos</t>
  </si>
  <si>
    <t>Verificação DPA</t>
  </si>
  <si>
    <t xml:space="preserve">PESQUISA </t>
  </si>
  <si>
    <t>Existência de documentação de projeto:</t>
  </si>
  <si>
    <t>Domínio curso d'água:</t>
  </si>
  <si>
    <t>Categoria de Risco - CRI:</t>
  </si>
  <si>
    <t>Dano Potencial Associado - DPA:</t>
  </si>
  <si>
    <t>Classificação quanto a CRI e DPA:</t>
  </si>
  <si>
    <t>Tem Plano de Segurança de Barragem (PSB)?:</t>
  </si>
  <si>
    <t xml:space="preserve">Declaro sob as penas da lei que as informações prestadas são verdadeiras e que estou ciente de que a falsidade na prestação destas informações constitui crime, na forma do artigo 299, do Código Penal (pena de reclusão de 1 a 5 anos e multa), c/c artigo 3° da Lei de Crimes Ambientais, c/c artigo 19, §3°, item 5, do Decreto n° 39.424/1998, c/c artigo 19 da Resolução CONAMA n° 237/1997.                                                                              </t>
  </si>
  <si>
    <t xml:space="preserve">......................................................................................................................................
Nome completo do  empreendedor ou de seu representante legal
CPF:
</t>
  </si>
  <si>
    <t xml:space="preserve">IDENTIFICAÇÃO DO EMPREENDIMENTO </t>
  </si>
  <si>
    <r>
      <t xml:space="preserve">Finalizado o preenchimento, verifique o campo </t>
    </r>
    <r>
      <rPr>
        <b/>
        <sz val="14"/>
        <color theme="1"/>
        <rFont val="Calibri"/>
        <family val="2"/>
        <scheme val="minor"/>
      </rPr>
      <t>Verificação de Preenchimento.</t>
    </r>
    <r>
      <rPr>
        <sz val="14"/>
        <color theme="1"/>
        <rFont val="Calibri"/>
        <family val="2"/>
        <scheme val="minor"/>
      </rPr>
      <t xml:space="preserve"> </t>
    </r>
  </si>
  <si>
    <r>
      <t xml:space="preserve">No final do Formulário, o responsável pelo preenchimento deverá </t>
    </r>
    <r>
      <rPr>
        <u/>
        <sz val="14"/>
        <color theme="1"/>
        <rFont val="Calibri"/>
        <family val="2"/>
        <scheme val="minor"/>
      </rPr>
      <t>imprimir o formulário e entregar para o empreendedor</t>
    </r>
    <r>
      <rPr>
        <sz val="14"/>
        <color theme="1"/>
        <rFont val="Calibri"/>
        <family val="2"/>
        <scheme val="minor"/>
      </rPr>
      <t xml:space="preserve"> e para isso deverá clicar em </t>
    </r>
    <r>
      <rPr>
        <b/>
        <sz val="14"/>
        <color theme="1"/>
        <rFont val="Calibri"/>
        <family val="2"/>
        <scheme val="minor"/>
      </rPr>
      <t>Formulário para impressão</t>
    </r>
    <r>
      <rPr>
        <sz val="14"/>
        <color theme="1"/>
        <rFont val="Calibri"/>
        <family val="2"/>
        <scheme val="minor"/>
      </rPr>
      <t xml:space="preserve">, sendo direcionado para a aba onde haverá o formulário preenchido contendo a lista de documentos que o empreendedor deverá providenciar. </t>
    </r>
  </si>
  <si>
    <t xml:space="preserve">FORMULÁRIO PARA IMPRESSÃO </t>
  </si>
  <si>
    <t>BARRAGEM DAS TRAÍRAS</t>
  </si>
  <si>
    <t>ESTRADA VILA VELHA</t>
  </si>
  <si>
    <t>RIO DAS TRAÍRAS</t>
  </si>
  <si>
    <t>PARA RETORNAR AO FORMULÁRIO PARA CADASTRO DE BARRAGEM</t>
  </si>
  <si>
    <t xml:space="preserve">Validade da autorização (anos): </t>
  </si>
  <si>
    <r>
      <rPr>
        <b/>
        <sz val="12"/>
        <color theme="1"/>
        <rFont val="Arial"/>
        <family val="2"/>
      </rPr>
      <t>Digitar</t>
    </r>
    <r>
      <rPr>
        <sz val="12"/>
        <color theme="1"/>
        <rFont val="Arial"/>
        <family val="2"/>
      </rPr>
      <t xml:space="preserve"> o telefone do responsável pelo preenchimento do formulário (com código DDD).</t>
    </r>
  </si>
  <si>
    <t xml:space="preserve">MODELO DE FORMULÁRIO PREENCHIDO - PESSOA FÍSICA </t>
  </si>
  <si>
    <t xml:space="preserve">MODELO DE FORMULÁRIO PREENCHIDO - PESSOA JURÍDICA </t>
  </si>
  <si>
    <t>CAEMG</t>
  </si>
  <si>
    <t>CAEMG@MG.GOV.BR</t>
  </si>
  <si>
    <t>COMPANHIA DE ÁGUA E ESGOTO DE MINAS GERAIS</t>
  </si>
  <si>
    <t>RUA SANTO ANTÔNIO</t>
  </si>
  <si>
    <t>20/01/2019</t>
  </si>
  <si>
    <t>20/03/2019</t>
  </si>
  <si>
    <t>18/01/2015</t>
  </si>
  <si>
    <t>18/01/2020</t>
  </si>
  <si>
    <t>GERENTE DE MEIO AMBIENTE</t>
  </si>
  <si>
    <t>JOAQUIM ALVES DE SOUZA</t>
  </si>
  <si>
    <t>JOAO DA SILVA</t>
  </si>
  <si>
    <t>JOAODASILVA@GMAIL.COM</t>
  </si>
  <si>
    <t>RUA NOSSA SENHORA DO CARMO</t>
  </si>
  <si>
    <t>18/01/2016</t>
  </si>
  <si>
    <t>18/01/2021</t>
  </si>
  <si>
    <t xml:space="preserve">  </t>
  </si>
  <si>
    <r>
      <rPr>
        <b/>
        <sz val="12"/>
        <color theme="1"/>
        <rFont val="Arial"/>
        <family val="2"/>
      </rPr>
      <t>Digitar</t>
    </r>
    <r>
      <rPr>
        <sz val="12"/>
        <color theme="1"/>
        <rFont val="Arial"/>
        <family val="2"/>
      </rPr>
      <t xml:space="preserve"> a razão social ou nome do empreendimento e, se pessoa física, digite o nome da pessoa.</t>
    </r>
  </si>
  <si>
    <r>
      <rPr>
        <b/>
        <sz val="12"/>
        <color theme="1"/>
        <rFont val="Arial"/>
        <family val="2"/>
      </rPr>
      <t>Digitar</t>
    </r>
    <r>
      <rPr>
        <sz val="12"/>
        <color theme="1"/>
        <rFont val="Arial"/>
        <family val="2"/>
      </rPr>
      <t xml:space="preserve"> o CPF do empreendedor se pessoa física e, se pessoa jurídica, deixe em branco. O CPF é composto por 11 números.</t>
    </r>
  </si>
  <si>
    <r>
      <rPr>
        <b/>
        <sz val="12"/>
        <color theme="1"/>
        <rFont val="Arial"/>
        <family val="2"/>
      </rPr>
      <t>Digitar</t>
    </r>
    <r>
      <rPr>
        <sz val="12"/>
        <color theme="1"/>
        <rFont val="Arial"/>
        <family val="2"/>
      </rPr>
      <t xml:space="preserve"> o CNPJ do empreendimento se pessoa jurídica e, se pessoa física, deixe em branco. O CNPJ é composto por 14 números.</t>
    </r>
  </si>
  <si>
    <r>
      <rPr>
        <b/>
        <sz val="12"/>
        <color theme="1"/>
        <rFont val="Arial"/>
        <family val="2"/>
      </rPr>
      <t>Digitar</t>
    </r>
    <r>
      <rPr>
        <sz val="12"/>
        <color theme="1"/>
        <rFont val="Arial"/>
        <family val="2"/>
      </rPr>
      <t xml:space="preserve"> o CNPJ do empreendedor se pessoa jurídica e, se pessoa física, deixe em branco. O CNPJ é composto por 14 números.</t>
    </r>
  </si>
  <si>
    <r>
      <rPr>
        <b/>
        <sz val="12"/>
        <color theme="1"/>
        <rFont val="Arial"/>
        <family val="2"/>
      </rPr>
      <t>Digitar</t>
    </r>
    <r>
      <rPr>
        <sz val="12"/>
        <color theme="1"/>
        <rFont val="Arial"/>
        <family val="2"/>
      </rPr>
      <t xml:space="preserve"> o número do telefone para contato do empreendedor  (com código DDD).</t>
    </r>
  </si>
  <si>
    <t>Na tela "resultado", copie as coordenadas geográficas em graus decimais e digite no formulário de cadastro de barragens.</t>
  </si>
  <si>
    <r>
      <rPr>
        <b/>
        <sz val="12"/>
        <color theme="1"/>
        <rFont val="Arial"/>
        <family val="2"/>
      </rPr>
      <t>Selecionar</t>
    </r>
    <r>
      <rPr>
        <sz val="12"/>
        <color theme="1"/>
        <rFont val="Arial"/>
        <family val="2"/>
      </rPr>
      <t xml:space="preserve"> outros usos da água do reservatório além do uso preponderante. Segundo uso mais importante.</t>
    </r>
  </si>
  <si>
    <t>1 - ESTRUTURAS CIVIS E HIDROELETROMECÂNICAS EM PLENO FUNCIONAMENTO / CANAIS DE APROXIMAÇÃO OU DE RESTITUIÇÃO OU VERTEDOURO (TIPO SOLEIRA LIVRE) DESOBSTRUIDOS</t>
  </si>
  <si>
    <t>4 - EXISTÊNCIA DE TRINCAS, ABATIMENTOS OU ESCORREGAMENTOS EXPRESSIVOS, COM POTENCIAL DE COMPROMETIMENTO DA SEGURANÇA.</t>
  </si>
  <si>
    <t xml:space="preserve">Campos preenchidos automaticamente considerando os anexos I e II da Portaria Igam nº 02, de 26 de fevereiro de 2019, e com base nas informações prestadas.  </t>
  </si>
  <si>
    <t>Campo preenchido automaticamente considerando a Portaria Igam nº 02, de 26 de fevereiro de 2019, e com base na classificação do empreendimento.</t>
  </si>
  <si>
    <t xml:space="preserve">Acesse o site  do IDE Sisema disponível no endereço </t>
  </si>
  <si>
    <t>http://idesisema.meioambiente.mg.gov.br/</t>
  </si>
  <si>
    <t>Utilize o mapa abaixo para identificar a UPGRH a qual o ponto pertence. Por exemplo, o ponto ilustrado no mapa acima, pertence à UPGRH SF5, quando se compara com o mapa abaixo.</t>
  </si>
  <si>
    <t>http://www.dpi.inpe.br/calcula/</t>
  </si>
  <si>
    <t>Para acessar a calculadora geográfica acesso o endereço:</t>
  </si>
  <si>
    <t xml:space="preserve">     Digite as coordenadas em (Grau Minuto Segundo)</t>
  </si>
  <si>
    <t xml:space="preserve">       Selecione o Datum de entrada e clique em avançar. </t>
  </si>
  <si>
    <t>Caso tenha dúvida para fazer a conversão de coordenadas, utilize a calculadora geográfica.</t>
  </si>
  <si>
    <r>
      <rPr>
        <b/>
        <sz val="12"/>
        <color theme="1"/>
        <rFont val="Arial"/>
        <family val="2"/>
      </rPr>
      <t>Digitar</t>
    </r>
    <r>
      <rPr>
        <sz val="12"/>
        <color theme="1"/>
        <rFont val="Arial"/>
        <family val="2"/>
      </rPr>
      <t xml:space="preserve"> o nome do curso d'água barrado.</t>
    </r>
  </si>
  <si>
    <t xml:space="preserve">3 - ESTRUTURAS CIVIS COMPROMETIDAS OU DISPOSITIVOS HIDROELETROMECÂNICOS COM PROBLEMAS IDENTIFICADOS, COM REDUÇÃO DE CAPACIDADE DE VAZÃO E COM MEDIDAS CORRETIVAS EM IMPLANTAÇÃO/CANAIS OU VERTEDOURO (TIPO SOLEIRA LIVRE) COM EROSÕES E/OU PARCIALMENTE OBSTRUÍDOS, COM RISCO DE COMPROMETIMENTO  DA ESTRUTURA VERTENTE. </t>
  </si>
  <si>
    <t>4 - ESTRUTURAS CIVIS COMPROMETIDAS OU DISPOSITIVOS HIDROELETROMECÂNICOS COM PROBLEMAS IDENTIFICADOS, COM REDUÇÃO DE CAPACIDADE DE VAZÃO E SEM MEDIDAS CORRETIVAS/ CANAIS OU VERTEDOURO (TIPO SOLEIRA LIVRE) OBSTRUÍDOS OU COM ESTRUTURAS DANIFICADAS</t>
  </si>
  <si>
    <t>3 - NÃO POSSUI ESTRUTURA ORGANIZACIONAL E RESPOSÁVEL TÉCNICO PELA SEGURANÇA DA BARRAGEM</t>
  </si>
  <si>
    <t>CRI - ∑ pontuação CT</t>
  </si>
  <si>
    <t>CRI - ∑ pontuação EC</t>
  </si>
  <si>
    <t>CRI - ∑ pontuação PSB</t>
  </si>
  <si>
    <t>CRI - pontuação Confiabialidade das estruturas extravasoras</t>
  </si>
  <si>
    <t>CRI - pontuação Confiabialidade das estruturas de adução</t>
  </si>
  <si>
    <t>CRI - pontuação Percolação</t>
  </si>
  <si>
    <t>CRI - pontuação Deformações e recalques</t>
  </si>
  <si>
    <t>CRI - pontuação Deterioração taludes</t>
  </si>
  <si>
    <t>CRI - pontuação  Eclusa</t>
  </si>
  <si>
    <t>&gt; 50 ANOS</t>
  </si>
  <si>
    <t>DESCARREGADORA</t>
  </si>
  <si>
    <t xml:space="preserve">•   	Plano de Segurança de Barragens - PSB;
•   	Plano de Ação de Emergência - PAE; 
•   	Revisão Periódica de Segurança de Segurança de Barragem    
PRAZO: 26/02/2020                                                                                                                                                           </t>
  </si>
  <si>
    <t xml:space="preserve">•   	Plano de Segurança de Barragens - PSB;
•   	Plano de Ação de Emergência - PAE; 
•   	Revisão Periódica de Segurança de Segurança de Barragem    
PRAZO: 26/02/2021                                                                                                                                                  </t>
  </si>
  <si>
    <t xml:space="preserve">•  	Plano de Segurança de Barragens - PSB;
•  	Revisão Periódica de Segurança de Segurança de Barragem. 
PRAZO: 26/02/2022                                                                                                                                                                         </t>
  </si>
  <si>
    <t xml:space="preserve">•  	Plano de Segurança de Barragens - PSB;
•  	Revisão Periódica de Segurança de Segurança de Barragem. 
PRAZO: 26/02/2022                                                                                                                                                                      </t>
  </si>
  <si>
    <t>&lt; 5 ANOS</t>
  </si>
  <si>
    <t>ENTRE 10 E 30 ANOS</t>
  </si>
  <si>
    <t>Tem Revisão Periódica de Segurança de Barragem (RPSB):</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</si>
</sst>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quot;.&quot;000&quot;.&quot;000&quot;-&quot;00"/>
    <numFmt numFmtId="165" formatCode="00&quot;.&quot;000&quot;.&quot;000&quot;/&quot;0000&quot;-&quot;00"/>
    <numFmt numFmtId="166" formatCode="00&quot;.&quot;000&quot;-&quot;000"/>
    <numFmt numFmtId="167" formatCode="&quot;(&quot;00&quot;)&quot;&quot; &quot;0000&quot;-&quot;0000"/>
    <numFmt numFmtId="168" formatCode="&quot;(&quot;00&quot;)&quot;&quot; &quot;00000&quot;-&quot;0000"/>
    <numFmt numFmtId="169" formatCode="&quot;-&quot;00&quot;.&quot;000000"/>
    <numFmt numFmtId="170" formatCode="00&quot;.&quot;00"/>
    <numFmt numFmtId="171" formatCode="00&quot;/&quot;0000"/>
    <numFmt numFmtId="172" formatCode="dd\-mm\-yyyy"/>
  </numFmts>
  <fonts count="36" x14ac:knownFonts="1">
    <font>
      <sz val="11"/>
      <color theme="1"/>
      <name val="Calibri"/>
      <family val="2"/>
      <scheme val="minor"/>
    </font>
    <font>
      <sz val="10"/>
      <name val="Arial"/>
      <family val="2"/>
    </font>
    <font>
      <u/>
      <sz val="10"/>
      <color indexed="12"/>
      <name val="Arial"/>
      <family val="2"/>
    </font>
    <font>
      <sz val="11"/>
      <color theme="1"/>
      <name val="Calibri"/>
      <family val="2"/>
    </font>
    <font>
      <sz val="11"/>
      <color rgb="FF000000"/>
      <name val="Calibri"/>
      <family val="2"/>
      <scheme val="minor"/>
    </font>
    <font>
      <sz val="12"/>
      <color theme="1"/>
      <name val="Calibri"/>
      <family val="2"/>
      <scheme val="minor"/>
    </font>
    <font>
      <vertAlign val="superscript"/>
      <sz val="11"/>
      <color theme="1"/>
      <name val="Calibri"/>
      <family val="2"/>
    </font>
    <font>
      <vertAlign val="superscript"/>
      <sz val="11"/>
      <color theme="1"/>
      <name val="Calibri"/>
      <family val="2"/>
      <scheme val="minor"/>
    </font>
    <font>
      <b/>
      <sz val="12"/>
      <color theme="1"/>
      <name val="Arial"/>
      <family val="2"/>
    </font>
    <font>
      <sz val="12"/>
      <color theme="1"/>
      <name val="Arial"/>
      <family val="2"/>
    </font>
    <font>
      <b/>
      <sz val="12"/>
      <color rgb="FF000000"/>
      <name val="Arial"/>
      <family val="2"/>
    </font>
    <font>
      <b/>
      <sz val="12"/>
      <name val="Arial"/>
      <family val="2"/>
    </font>
    <font>
      <strike/>
      <sz val="12"/>
      <color theme="1"/>
      <name val="Arial"/>
      <family val="2"/>
    </font>
    <font>
      <sz val="12"/>
      <name val="Arial"/>
      <family val="2"/>
    </font>
    <font>
      <sz val="12"/>
      <color indexed="8"/>
      <name val="Arial"/>
      <family val="2"/>
    </font>
    <font>
      <b/>
      <sz val="12"/>
      <color indexed="8"/>
      <name val="Arial"/>
      <family val="2"/>
    </font>
    <font>
      <b/>
      <sz val="16"/>
      <color theme="1"/>
      <name val="Calibri"/>
      <family val="2"/>
      <scheme val="minor"/>
    </font>
    <font>
      <u/>
      <sz val="11"/>
      <color theme="10"/>
      <name val="Calibri"/>
      <family val="2"/>
      <scheme val="minor"/>
    </font>
    <font>
      <vertAlign val="superscript"/>
      <sz val="12"/>
      <color theme="1"/>
      <name val="Arial"/>
      <family val="2"/>
    </font>
    <font>
      <sz val="14"/>
      <color theme="1"/>
      <name val="Calibri"/>
      <family val="2"/>
      <scheme val="minor"/>
    </font>
    <font>
      <sz val="16"/>
      <color theme="1"/>
      <name val="Calibri"/>
      <family val="2"/>
      <scheme val="minor"/>
    </font>
    <font>
      <b/>
      <sz val="14"/>
      <color theme="1"/>
      <name val="Calibri"/>
      <family val="2"/>
      <scheme val="minor"/>
    </font>
    <font>
      <b/>
      <u/>
      <sz val="14"/>
      <color theme="1"/>
      <name val="Calibri"/>
      <family val="2"/>
      <scheme val="minor"/>
    </font>
    <font>
      <u/>
      <sz val="14"/>
      <color theme="1"/>
      <name val="Calibri"/>
      <family val="2"/>
      <scheme val="minor"/>
    </font>
    <font>
      <sz val="12"/>
      <color rgb="FFFF0000"/>
      <name val="Arial"/>
      <family val="2"/>
    </font>
    <font>
      <u/>
      <sz val="12"/>
      <color theme="1"/>
      <name val="Arial"/>
      <family val="2"/>
    </font>
    <font>
      <b/>
      <sz val="12"/>
      <color theme="1"/>
      <name val="Calibri"/>
      <family val="2"/>
      <scheme val="minor"/>
    </font>
    <font>
      <sz val="12"/>
      <name val="Calibri"/>
      <family val="2"/>
      <scheme val="minor"/>
    </font>
    <font>
      <b/>
      <sz val="11"/>
      <color theme="1"/>
      <name val="Calibri"/>
      <family val="2"/>
      <scheme val="minor"/>
    </font>
    <font>
      <sz val="12"/>
      <color rgb="FF000000"/>
      <name val="Arial"/>
      <family val="2"/>
    </font>
    <font>
      <sz val="10"/>
      <color theme="1"/>
      <name val="Arial"/>
      <family val="2"/>
    </font>
    <font>
      <u/>
      <sz val="10"/>
      <color theme="10"/>
      <name val="Calibri"/>
      <family val="2"/>
      <scheme val="minor"/>
    </font>
    <font>
      <strike/>
      <sz val="10"/>
      <color theme="1"/>
      <name val="Arial"/>
      <family val="2"/>
    </font>
    <font>
      <sz val="10"/>
      <color theme="10"/>
      <name val="Calibri"/>
      <family val="2"/>
      <scheme val="minor"/>
    </font>
    <font>
      <u/>
      <sz val="14"/>
      <color theme="10"/>
      <name val="Calibri"/>
      <family val="2"/>
      <scheme val="minor"/>
    </font>
    <font>
      <b/>
      <sz val="9"/>
      <color indexed="17"/>
      <name val="Calibri"/>
      <family val="2"/>
    </font>
  </fonts>
  <fills count="1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indexed="51"/>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cellStyleXfs>
  <cellXfs count="571">
    <xf numFmtId="0" fontId="0" fillId="0" borderId="0" xfId="0"/>
    <xf numFmtId="0" fontId="0" fillId="0" borderId="0" xfId="0" applyAlignment="1">
      <alignment horizontal="justify" vertical="top" wrapText="1"/>
    </xf>
    <xf numFmtId="0" fontId="5" fillId="2" borderId="0" xfId="0" applyFont="1" applyFill="1"/>
    <xf numFmtId="0" fontId="0" fillId="2" borderId="0" xfId="0" applyFill="1"/>
    <xf numFmtId="0" fontId="16" fillId="2" borderId="0" xfId="0" applyFont="1" applyFill="1"/>
    <xf numFmtId="0" fontId="0" fillId="2" borderId="0" xfId="0" applyFill="1" applyAlignment="1">
      <alignment vertical="justify" wrapText="1"/>
    </xf>
    <xf numFmtId="0" fontId="26" fillId="2" borderId="0" xfId="0" applyFont="1" applyFill="1"/>
    <xf numFmtId="0" fontId="0" fillId="0" borderId="4" xfId="0" applyBorder="1" applyAlignment="1">
      <alignment horizontal="center"/>
    </xf>
    <xf numFmtId="0" fontId="0" fillId="0" borderId="9" xfId="0" applyBorder="1" applyAlignment="1">
      <alignment horizontal="center"/>
    </xf>
    <xf numFmtId="0" fontId="0" fillId="0" borderId="9" xfId="0" applyBorder="1"/>
    <xf numFmtId="0" fontId="0" fillId="0" borderId="3" xfId="0" applyBorder="1" applyAlignment="1">
      <alignment horizontal="left" vertical="top" wrapText="1"/>
    </xf>
    <xf numFmtId="0" fontId="0" fillId="0" borderId="3" xfId="0" applyBorder="1" applyAlignment="1">
      <alignment horizontal="justify" vertical="top" wrapText="1"/>
    </xf>
    <xf numFmtId="0" fontId="28" fillId="7" borderId="37" xfId="0" applyFont="1" applyFill="1" applyBorder="1" applyAlignment="1">
      <alignment horizontal="center"/>
    </xf>
    <xf numFmtId="0" fontId="0" fillId="0" borderId="8" xfId="0" applyBorder="1" applyAlignment="1">
      <alignment horizontal="justify" vertical="top" wrapText="1"/>
    </xf>
    <xf numFmtId="0" fontId="0" fillId="0" borderId="8" xfId="0" applyBorder="1"/>
    <xf numFmtId="0" fontId="0" fillId="0" borderId="46" xfId="0" applyBorder="1" applyAlignment="1">
      <alignment horizontal="left" vertical="top" wrapText="1"/>
    </xf>
    <xf numFmtId="0" fontId="28" fillId="4" borderId="45" xfId="0" applyFont="1" applyFill="1" applyBorder="1" applyAlignment="1">
      <alignment horizontal="left"/>
    </xf>
    <xf numFmtId="0" fontId="0" fillId="0" borderId="20" xfId="0" applyBorder="1" applyAlignment="1">
      <alignment horizontal="center"/>
    </xf>
    <xf numFmtId="0" fontId="0" fillId="0" borderId="21" xfId="0" applyBorder="1" applyAlignment="1">
      <alignment horizontal="center"/>
    </xf>
    <xf numFmtId="0" fontId="0" fillId="4" borderId="47" xfId="0" applyFill="1" applyBorder="1" applyAlignment="1">
      <alignment horizontal="center"/>
    </xf>
    <xf numFmtId="0" fontId="0" fillId="4" borderId="48" xfId="0" applyFill="1" applyBorder="1" applyAlignment="1">
      <alignment horizontal="center"/>
    </xf>
    <xf numFmtId="0" fontId="0" fillId="0" borderId="43" xfId="0" applyBorder="1" applyAlignment="1">
      <alignment horizontal="left" vertical="top" wrapText="1"/>
    </xf>
    <xf numFmtId="0" fontId="0" fillId="0" borderId="37" xfId="0" applyBorder="1" applyAlignment="1">
      <alignment horizontal="center"/>
    </xf>
    <xf numFmtId="0" fontId="0" fillId="0" borderId="34" xfId="0" applyBorder="1" applyAlignment="1">
      <alignment horizontal="center"/>
    </xf>
    <xf numFmtId="0" fontId="0" fillId="0" borderId="46" xfId="0" applyBorder="1" applyAlignment="1">
      <alignment horizontal="justify" vertical="top" wrapText="1"/>
    </xf>
    <xf numFmtId="0" fontId="0" fillId="0" borderId="43" xfId="0" applyBorder="1" applyAlignment="1">
      <alignment horizontal="justify" vertical="top" wrapText="1"/>
    </xf>
    <xf numFmtId="0" fontId="0" fillId="8" borderId="48" xfId="0" applyFill="1" applyBorder="1" applyAlignment="1">
      <alignment horizontal="center"/>
    </xf>
    <xf numFmtId="0" fontId="0" fillId="0" borderId="19" xfId="0" applyBorder="1" applyAlignment="1">
      <alignment horizontal="justify" vertical="top" wrapText="1"/>
    </xf>
    <xf numFmtId="0" fontId="0" fillId="0" borderId="27" xfId="0" applyBorder="1" applyAlignment="1">
      <alignment horizontal="justify" vertical="top" wrapText="1"/>
    </xf>
    <xf numFmtId="0" fontId="0" fillId="0" borderId="27" xfId="0" applyBorder="1"/>
    <xf numFmtId="0" fontId="0" fillId="0" borderId="19" xfId="0" applyBorder="1"/>
    <xf numFmtId="0" fontId="0" fillId="0" borderId="21" xfId="0" applyBorder="1"/>
    <xf numFmtId="0" fontId="0" fillId="0" borderId="4" xfId="0" applyBorder="1" applyAlignment="1">
      <alignment horizontal="justify" vertical="top" wrapText="1"/>
    </xf>
    <xf numFmtId="0" fontId="0" fillId="8" borderId="42" xfId="0" applyFill="1" applyBorder="1" applyAlignment="1">
      <alignment horizontal="center"/>
    </xf>
    <xf numFmtId="0" fontId="0" fillId="0" borderId="0" xfId="0" applyAlignment="1">
      <alignment horizontal="center"/>
    </xf>
    <xf numFmtId="0" fontId="0" fillId="0" borderId="4" xfId="0" applyBorder="1"/>
    <xf numFmtId="0" fontId="0" fillId="0" borderId="14" xfId="0" applyBorder="1" applyAlignment="1">
      <alignment horizontal="center"/>
    </xf>
    <xf numFmtId="0" fontId="0" fillId="0" borderId="37" xfId="0" applyBorder="1"/>
    <xf numFmtId="0" fontId="0" fillId="0" borderId="35" xfId="0" applyBorder="1"/>
    <xf numFmtId="0" fontId="0" fillId="8" borderId="45" xfId="0" applyFill="1" applyBorder="1" applyAlignment="1">
      <alignment horizontal="center"/>
    </xf>
    <xf numFmtId="0" fontId="0" fillId="0" borderId="20" xfId="0" applyBorder="1"/>
    <xf numFmtId="0" fontId="0" fillId="4" borderId="5" xfId="0" applyFill="1" applyBorder="1"/>
    <xf numFmtId="0" fontId="0" fillId="4" borderId="6" xfId="0" applyFill="1" applyBorder="1"/>
    <xf numFmtId="0" fontId="0" fillId="4" borderId="12" xfId="0" applyFill="1" applyBorder="1"/>
    <xf numFmtId="0" fontId="0" fillId="4" borderId="13" xfId="0" applyFill="1" applyBorder="1"/>
    <xf numFmtId="0" fontId="0" fillId="8" borderId="7" xfId="0" applyFill="1" applyBorder="1" applyAlignment="1">
      <alignment horizontal="center"/>
    </xf>
    <xf numFmtId="0" fontId="0" fillId="8" borderId="14" xfId="0" applyFill="1" applyBorder="1" applyAlignment="1">
      <alignment horizontal="center"/>
    </xf>
    <xf numFmtId="0" fontId="0" fillId="8" borderId="48" xfId="0" applyFill="1" applyBorder="1" applyAlignment="1">
      <alignment horizontal="center" vertical="top" wrapText="1"/>
    </xf>
    <xf numFmtId="0" fontId="28" fillId="0" borderId="22" xfId="0" applyFont="1" applyBorder="1"/>
    <xf numFmtId="0" fontId="28" fillId="0" borderId="49" xfId="0" applyFont="1" applyBorder="1"/>
    <xf numFmtId="0" fontId="0" fillId="0" borderId="49" xfId="0" applyBorder="1"/>
    <xf numFmtId="0" fontId="0" fillId="0" borderId="19" xfId="0" applyBorder="1" applyAlignment="1">
      <alignment horizontal="justify" vertical="top"/>
    </xf>
    <xf numFmtId="0" fontId="0" fillId="0" borderId="8" xfId="0" applyBorder="1" applyAlignment="1">
      <alignment horizontal="justify" vertical="top"/>
    </xf>
    <xf numFmtId="0" fontId="0" fillId="0" borderId="27" xfId="0" applyBorder="1" applyAlignment="1">
      <alignment horizontal="justify" vertical="top"/>
    </xf>
    <xf numFmtId="0" fontId="0" fillId="0" borderId="19" xfId="0" applyBorder="1" applyAlignment="1">
      <alignment horizontal="justify" wrapText="1"/>
    </xf>
    <xf numFmtId="0" fontId="0" fillId="0" borderId="8" xfId="0" applyBorder="1" applyAlignment="1">
      <alignment horizontal="justify" wrapText="1"/>
    </xf>
    <xf numFmtId="0" fontId="0" fillId="0" borderId="27" xfId="0" applyBorder="1" applyAlignment="1">
      <alignment horizontal="justify" wrapText="1"/>
    </xf>
    <xf numFmtId="0" fontId="28" fillId="4" borderId="22" xfId="0" applyFont="1" applyFill="1" applyBorder="1" applyAlignment="1">
      <alignment horizontal="center"/>
    </xf>
    <xf numFmtId="0" fontId="28" fillId="4" borderId="52" xfId="0" applyFont="1" applyFill="1" applyBorder="1" applyAlignment="1">
      <alignment horizontal="center"/>
    </xf>
    <xf numFmtId="0" fontId="28" fillId="4" borderId="48" xfId="0" applyFont="1" applyFill="1"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28" fillId="4" borderId="64" xfId="0" applyFont="1" applyFill="1" applyBorder="1" applyAlignment="1">
      <alignment horizontal="center"/>
    </xf>
    <xf numFmtId="0" fontId="28" fillId="4" borderId="67" xfId="0" applyFont="1" applyFill="1" applyBorder="1" applyAlignment="1">
      <alignment horizontal="center"/>
    </xf>
    <xf numFmtId="0" fontId="28" fillId="8" borderId="26" xfId="0" applyFont="1" applyFill="1" applyBorder="1" applyAlignment="1">
      <alignment horizontal="center"/>
    </xf>
    <xf numFmtId="0" fontId="0" fillId="0" borderId="60" xfId="0" applyBorder="1" applyAlignment="1">
      <alignment horizontal="center"/>
    </xf>
    <xf numFmtId="0" fontId="28" fillId="4" borderId="45" xfId="0" applyFont="1" applyFill="1" applyBorder="1" applyAlignment="1">
      <alignment horizontal="center"/>
    </xf>
    <xf numFmtId="0" fontId="28" fillId="0" borderId="19" xfId="0" applyFont="1" applyBorder="1" applyAlignment="1">
      <alignment horizontal="center"/>
    </xf>
    <xf numFmtId="0" fontId="13" fillId="0" borderId="2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4" xfId="0" applyFont="1" applyBorder="1" applyAlignment="1">
      <alignment horizontal="center" vertical="center" wrapText="1"/>
    </xf>
    <xf numFmtId="3" fontId="0" fillId="0" borderId="9" xfId="0" applyNumberFormat="1" applyBorder="1" applyAlignment="1">
      <alignment horizontal="center"/>
    </xf>
    <xf numFmtId="2" fontId="0" fillId="0" borderId="21" xfId="0" applyNumberFormat="1" applyBorder="1" applyAlignment="1">
      <alignment horizontal="center"/>
    </xf>
    <xf numFmtId="0" fontId="0" fillId="0" borderId="22" xfId="0" applyBorder="1" applyAlignment="1">
      <alignment horizontal="center"/>
    </xf>
    <xf numFmtId="0" fontId="0" fillId="7" borderId="45" xfId="0" applyFill="1" applyBorder="1" applyAlignment="1">
      <alignment horizontal="center"/>
    </xf>
    <xf numFmtId="0" fontId="0" fillId="7" borderId="22" xfId="0" applyFill="1" applyBorder="1" applyAlignment="1">
      <alignment horizontal="center"/>
    </xf>
    <xf numFmtId="0" fontId="0" fillId="7" borderId="48" xfId="0" applyFill="1" applyBorder="1" applyAlignment="1">
      <alignment horizontal="center"/>
    </xf>
    <xf numFmtId="0" fontId="0" fillId="0" borderId="27" xfId="0" applyBorder="1" applyAlignment="1">
      <alignment horizontal="right"/>
    </xf>
    <xf numFmtId="3" fontId="0" fillId="0" borderId="48" xfId="0" applyNumberFormat="1" applyBorder="1" applyAlignment="1">
      <alignment horizontal="center"/>
    </xf>
    <xf numFmtId="0" fontId="1" fillId="2" borderId="9"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20" fillId="2" borderId="0" xfId="0" applyFont="1" applyFill="1"/>
    <xf numFmtId="0" fontId="19" fillId="2" borderId="0" xfId="0" applyFont="1" applyFill="1" applyAlignment="1">
      <alignment horizontal="center"/>
    </xf>
    <xf numFmtId="0" fontId="9" fillId="2" borderId="0" xfId="0" applyFont="1" applyFill="1"/>
    <xf numFmtId="0" fontId="9" fillId="2" borderId="0" xfId="0" applyFont="1" applyFill="1" applyAlignment="1">
      <alignment horizontal="left" vertical="top" wrapText="1"/>
    </xf>
    <xf numFmtId="0" fontId="8" fillId="5" borderId="22" xfId="0" applyFont="1" applyFill="1" applyBorder="1" applyAlignment="1">
      <alignment horizontal="center" vertical="center" wrapText="1"/>
    </xf>
    <xf numFmtId="0" fontId="9" fillId="2" borderId="0" xfId="0" applyFont="1" applyFill="1" applyAlignment="1">
      <alignment horizontal="left" vertical="top"/>
    </xf>
    <xf numFmtId="0" fontId="5" fillId="7" borderId="4" xfId="0" applyFont="1" applyFill="1" applyBorder="1"/>
    <xf numFmtId="0" fontId="5" fillId="6" borderId="1" xfId="0" applyFont="1" applyFill="1" applyBorder="1" applyAlignment="1">
      <alignment horizontal="center"/>
    </xf>
    <xf numFmtId="0" fontId="5" fillId="6" borderId="3" xfId="0" applyFont="1" applyFill="1" applyBorder="1"/>
    <xf numFmtId="0" fontId="9" fillId="0" borderId="8" xfId="0" applyFont="1" applyBorder="1" applyAlignment="1">
      <alignment horizontal="left" vertical="center"/>
    </xf>
    <xf numFmtId="0" fontId="5" fillId="6" borderId="69" xfId="0" applyFont="1" applyFill="1" applyBorder="1"/>
    <xf numFmtId="0" fontId="5" fillId="6" borderId="0" xfId="0" applyFont="1" applyFill="1"/>
    <xf numFmtId="0" fontId="5" fillId="6" borderId="70" xfId="0" applyFont="1" applyFill="1" applyBorder="1"/>
    <xf numFmtId="0" fontId="9" fillId="0" borderId="8" xfId="0" applyFont="1" applyBorder="1" applyAlignment="1">
      <alignment horizontal="left" vertical="center" wrapText="1"/>
    </xf>
    <xf numFmtId="0" fontId="9" fillId="0" borderId="8" xfId="0" applyFont="1" applyBorder="1" applyAlignment="1">
      <alignment horizontal="justify" vertical="top" wrapText="1"/>
    </xf>
    <xf numFmtId="0" fontId="9" fillId="0" borderId="2" xfId="0" applyFont="1" applyBorder="1" applyAlignment="1">
      <alignment horizontal="justify" vertical="center" wrapText="1"/>
    </xf>
    <xf numFmtId="0" fontId="9" fillId="2" borderId="0" xfId="0" applyFont="1" applyFill="1" applyAlignment="1">
      <alignment vertical="center"/>
    </xf>
    <xf numFmtId="0" fontId="9" fillId="0" borderId="8" xfId="0" applyFont="1" applyBorder="1" applyAlignment="1">
      <alignment horizontal="justify" vertical="center" wrapText="1"/>
    </xf>
    <xf numFmtId="0" fontId="27" fillId="2" borderId="0" xfId="0" applyFont="1" applyFill="1"/>
    <xf numFmtId="2" fontId="5" fillId="7" borderId="4" xfId="0" applyNumberFormat="1" applyFont="1" applyFill="1" applyBorder="1"/>
    <xf numFmtId="0" fontId="5" fillId="7" borderId="4" xfId="0" applyFont="1" applyFill="1" applyBorder="1" applyAlignment="1">
      <alignment horizontal="center"/>
    </xf>
    <xf numFmtId="3" fontId="5" fillId="7" borderId="4" xfId="0" applyNumberFormat="1" applyFont="1" applyFill="1" applyBorder="1"/>
    <xf numFmtId="1" fontId="5" fillId="7" borderId="4" xfId="0" applyNumberFormat="1" applyFont="1" applyFill="1" applyBorder="1"/>
    <xf numFmtId="0" fontId="5" fillId="7" borderId="4" xfId="0" applyFont="1" applyFill="1" applyBorder="1" applyAlignment="1">
      <alignment horizontal="left"/>
    </xf>
    <xf numFmtId="0" fontId="9" fillId="2" borderId="0" xfId="0" applyFont="1" applyFill="1" applyAlignment="1">
      <alignment horizontal="justify" vertical="top" wrapText="1"/>
    </xf>
    <xf numFmtId="0" fontId="11" fillId="5" borderId="1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9" fillId="0" borderId="12" xfId="0" applyFont="1" applyBorder="1" applyAlignment="1">
      <alignment horizontal="left" vertical="center" wrapText="1"/>
    </xf>
    <xf numFmtId="0" fontId="26" fillId="7" borderId="4" xfId="0" applyFont="1" applyFill="1" applyBorder="1" applyAlignment="1">
      <alignment horizontal="justify" vertical="top" wrapText="1"/>
    </xf>
    <xf numFmtId="0" fontId="5" fillId="6" borderId="4" xfId="0" applyFont="1" applyFill="1" applyBorder="1" applyAlignment="1">
      <alignment horizontal="center"/>
    </xf>
    <xf numFmtId="0" fontId="5" fillId="2" borderId="0" xfId="0" applyFont="1" applyFill="1" applyAlignment="1">
      <alignment vertical="top" wrapText="1"/>
    </xf>
    <xf numFmtId="0" fontId="16" fillId="2" borderId="0" xfId="0" applyFont="1" applyFill="1" applyAlignment="1">
      <alignment vertical="center"/>
    </xf>
    <xf numFmtId="0" fontId="19" fillId="2" borderId="0" xfId="0" applyFont="1" applyFill="1"/>
    <xf numFmtId="0" fontId="21" fillId="2" borderId="0" xfId="0" applyFont="1" applyFill="1"/>
    <xf numFmtId="0" fontId="19" fillId="0" borderId="0" xfId="0" applyFont="1"/>
    <xf numFmtId="0" fontId="4" fillId="0" borderId="57" xfId="0" applyFont="1" applyBorder="1" applyAlignment="1">
      <alignment horizontal="justify" vertical="top" wrapText="1"/>
    </xf>
    <xf numFmtId="0" fontId="4" fillId="0" borderId="2" xfId="0" applyFont="1" applyBorder="1" applyAlignment="1">
      <alignment horizontal="justify" vertical="top" wrapText="1"/>
    </xf>
    <xf numFmtId="0" fontId="4" fillId="0" borderId="1" xfId="0" applyFont="1" applyBorder="1" applyAlignment="1">
      <alignment horizontal="justify" vertical="top" wrapText="1"/>
    </xf>
    <xf numFmtId="0" fontId="4" fillId="0" borderId="71" xfId="0" applyFont="1" applyBorder="1" applyAlignment="1">
      <alignment horizontal="justify" vertical="top" wrapText="1"/>
    </xf>
    <xf numFmtId="0" fontId="0" fillId="0" borderId="0" xfId="0" applyAlignment="1">
      <alignment vertical="top"/>
    </xf>
    <xf numFmtId="0" fontId="4" fillId="0" borderId="0" xfId="0" applyFont="1" applyAlignment="1">
      <alignment horizontal="justify" vertical="top" wrapText="1"/>
    </xf>
    <xf numFmtId="0" fontId="5" fillId="7" borderId="4" xfId="0" applyFont="1" applyFill="1" applyBorder="1" applyAlignment="1">
      <alignment horizontal="justify" vertical="top" wrapText="1"/>
    </xf>
    <xf numFmtId="0" fontId="0" fillId="0" borderId="0" xfId="0" applyAlignment="1">
      <alignment horizontal="left" vertical="center" wrapText="1"/>
    </xf>
    <xf numFmtId="0" fontId="0" fillId="0" borderId="15" xfId="0" applyBorder="1" applyAlignment="1">
      <alignment horizontal="justify" vertical="top" wrapText="1"/>
    </xf>
    <xf numFmtId="0" fontId="0" fillId="0" borderId="6" xfId="0" applyBorder="1" applyAlignment="1">
      <alignment horizontal="center"/>
    </xf>
    <xf numFmtId="0" fontId="0" fillId="0" borderId="7" xfId="0" applyBorder="1" applyAlignment="1">
      <alignment horizontal="center"/>
    </xf>
    <xf numFmtId="0" fontId="0" fillId="0" borderId="17" xfId="0" applyBorder="1" applyAlignment="1">
      <alignment horizontal="justify" vertical="top" wrapText="1"/>
    </xf>
    <xf numFmtId="0" fontId="0" fillId="0" borderId="17" xfId="0" applyBorder="1" applyAlignment="1">
      <alignment horizontal="left" vertical="center" wrapText="1"/>
    </xf>
    <xf numFmtId="0" fontId="0" fillId="0" borderId="25" xfId="0" applyBorder="1" applyAlignment="1">
      <alignment horizontal="justify" vertical="top" wrapText="1"/>
    </xf>
    <xf numFmtId="0" fontId="0" fillId="0" borderId="26" xfId="0" applyBorder="1" applyAlignment="1">
      <alignment horizontal="left" vertical="center" wrapText="1"/>
    </xf>
    <xf numFmtId="2" fontId="35" fillId="9" borderId="37" xfId="0" applyNumberFormat="1" applyFont="1" applyFill="1" applyBorder="1" applyAlignment="1">
      <alignment horizontal="center" vertical="center"/>
    </xf>
    <xf numFmtId="2" fontId="5" fillId="2" borderId="0" xfId="0" applyNumberFormat="1" applyFont="1" applyFill="1"/>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11" fillId="5" borderId="1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9" fillId="0" borderId="55" xfId="0" applyFont="1" applyBorder="1" applyAlignment="1">
      <alignment horizontal="lef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wrapText="1"/>
    </xf>
    <xf numFmtId="0" fontId="9" fillId="0" borderId="1"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58" xfId="0" applyFont="1" applyBorder="1" applyAlignment="1">
      <alignment horizontal="left" vertical="center" wrapText="1"/>
    </xf>
    <xf numFmtId="0" fontId="5" fillId="6" borderId="4" xfId="0" applyFont="1" applyFill="1" applyBorder="1" applyAlignment="1">
      <alignment horizontal="left" vertical="top"/>
    </xf>
    <xf numFmtId="0" fontId="5" fillId="6" borderId="1" xfId="0" applyFont="1" applyFill="1" applyBorder="1" applyAlignment="1">
      <alignment horizontal="left" vertical="top" wrapText="1"/>
    </xf>
    <xf numFmtId="0" fontId="5" fillId="6" borderId="2" xfId="0" applyFont="1" applyFill="1" applyBorder="1" applyAlignment="1">
      <alignment horizontal="left" vertical="top" wrapText="1"/>
    </xf>
    <xf numFmtId="0" fontId="5" fillId="6" borderId="3" xfId="0" applyFont="1" applyFill="1" applyBorder="1" applyAlignment="1">
      <alignment horizontal="left" vertical="top" wrapText="1"/>
    </xf>
    <xf numFmtId="0" fontId="11" fillId="3" borderId="62"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66" xfId="0" applyFont="1" applyFill="1" applyBorder="1" applyAlignment="1">
      <alignment horizontal="center" vertical="center" wrapText="1"/>
    </xf>
    <xf numFmtId="0" fontId="5" fillId="2" borderId="15" xfId="0" applyFont="1" applyFill="1" applyBorder="1" applyAlignment="1">
      <alignment horizontal="left" vertical="center"/>
    </xf>
    <xf numFmtId="0" fontId="5" fillId="2" borderId="29"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2" borderId="0" xfId="0" applyFont="1" applyFill="1" applyAlignment="1">
      <alignment horizontal="left" vertical="center"/>
    </xf>
    <xf numFmtId="0" fontId="5" fillId="2" borderId="18" xfId="0" applyFont="1" applyFill="1" applyBorder="1" applyAlignment="1">
      <alignment horizontal="left" vertical="center"/>
    </xf>
    <xf numFmtId="0" fontId="5" fillId="2" borderId="25" xfId="0" applyFont="1" applyFill="1" applyBorder="1" applyAlignment="1">
      <alignment horizontal="left" vertical="top" wrapText="1"/>
    </xf>
    <xf numFmtId="0" fontId="5" fillId="2" borderId="30" xfId="0" applyFont="1" applyFill="1" applyBorder="1" applyAlignment="1">
      <alignment horizontal="left" vertical="top" wrapText="1"/>
    </xf>
    <xf numFmtId="0" fontId="5" fillId="2" borderId="26" xfId="0" applyFont="1" applyFill="1" applyBorder="1" applyAlignment="1">
      <alignment horizontal="left" vertical="top" wrapText="1"/>
    </xf>
    <xf numFmtId="0" fontId="26" fillId="7" borderId="1" xfId="0" applyFont="1" applyFill="1" applyBorder="1" applyAlignment="1">
      <alignment horizontal="center"/>
    </xf>
    <xf numFmtId="0" fontId="26" fillId="7" borderId="2" xfId="0" applyFont="1" applyFill="1" applyBorder="1" applyAlignment="1">
      <alignment horizontal="center"/>
    </xf>
    <xf numFmtId="0" fontId="26" fillId="7" borderId="3" xfId="0" applyFont="1" applyFill="1" applyBorder="1" applyAlignment="1">
      <alignment horizontal="center"/>
    </xf>
    <xf numFmtId="0" fontId="5" fillId="6" borderId="1" xfId="0" applyFont="1" applyFill="1" applyBorder="1" applyAlignment="1">
      <alignment horizontal="left" vertical="top"/>
    </xf>
    <xf numFmtId="0" fontId="5" fillId="6" borderId="2" xfId="0" applyFont="1" applyFill="1" applyBorder="1" applyAlignment="1">
      <alignment horizontal="left" vertical="top"/>
    </xf>
    <xf numFmtId="0" fontId="5" fillId="6" borderId="3" xfId="0" applyFont="1" applyFill="1" applyBorder="1" applyAlignment="1">
      <alignment horizontal="left" vertical="top"/>
    </xf>
    <xf numFmtId="0" fontId="5" fillId="2" borderId="0" xfId="0" applyFont="1" applyFill="1" applyAlignment="1">
      <alignment horizontal="center"/>
    </xf>
    <xf numFmtId="0" fontId="9" fillId="0" borderId="4"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7" borderId="8" xfId="0" applyFont="1" applyFill="1" applyBorder="1" applyAlignment="1">
      <alignment horizontal="left" vertical="center" wrapText="1"/>
    </xf>
    <xf numFmtId="0" fontId="9" fillId="7" borderId="4" xfId="0" applyFont="1" applyFill="1" applyBorder="1" applyAlignment="1">
      <alignment horizontal="left" vertical="center" wrapText="1"/>
    </xf>
    <xf numFmtId="0" fontId="5" fillId="6" borderId="1" xfId="0" applyFont="1" applyFill="1" applyBorder="1" applyAlignment="1">
      <alignment horizontal="center"/>
    </xf>
    <xf numFmtId="0" fontId="13" fillId="0" borderId="53" xfId="0" applyFont="1" applyBorder="1" applyAlignment="1">
      <alignment horizontal="justify" vertical="center" wrapText="1"/>
    </xf>
    <xf numFmtId="0" fontId="13" fillId="0" borderId="54" xfId="0" applyFont="1" applyBorder="1" applyAlignment="1">
      <alignment horizontal="justify" vertical="center" wrapText="1"/>
    </xf>
    <xf numFmtId="0" fontId="13" fillId="0" borderId="55" xfId="0" applyFont="1" applyBorder="1" applyAlignment="1">
      <alignment horizontal="justify" vertical="center" wrapText="1"/>
    </xf>
    <xf numFmtId="0" fontId="13" fillId="0" borderId="17" xfId="0" applyFont="1" applyBorder="1" applyAlignment="1">
      <alignment horizontal="justify" vertical="center" wrapText="1"/>
    </xf>
    <xf numFmtId="0" fontId="13" fillId="0" borderId="0" xfId="0" applyFont="1" applyAlignment="1">
      <alignment horizontal="justify" vertical="center" wrapText="1"/>
    </xf>
    <xf numFmtId="0" fontId="13" fillId="0" borderId="18" xfId="0" applyFont="1" applyBorder="1" applyAlignment="1">
      <alignment horizontal="justify" vertical="center" wrapText="1"/>
    </xf>
    <xf numFmtId="0" fontId="13" fillId="0" borderId="56" xfId="0" applyFont="1" applyBorder="1" applyAlignment="1">
      <alignment horizontal="justify" vertical="center" wrapText="1"/>
    </xf>
    <xf numFmtId="0" fontId="13" fillId="0" borderId="57" xfId="0" applyFont="1" applyBorder="1" applyAlignment="1">
      <alignment horizontal="justify" vertical="center" wrapText="1"/>
    </xf>
    <xf numFmtId="0" fontId="13" fillId="0" borderId="58" xfId="0" applyFont="1" applyBorder="1" applyAlignment="1">
      <alignment horizontal="justify" vertical="center" wrapText="1"/>
    </xf>
    <xf numFmtId="0" fontId="8" fillId="5" borderId="11" xfId="0" applyFont="1" applyFill="1" applyBorder="1" applyAlignment="1">
      <alignment horizontal="center" vertical="top" wrapText="1"/>
    </xf>
    <xf numFmtId="0" fontId="8" fillId="5" borderId="2" xfId="0" applyFont="1" applyFill="1" applyBorder="1" applyAlignment="1">
      <alignment horizontal="center" vertical="top" wrapText="1"/>
    </xf>
    <xf numFmtId="0" fontId="8" fillId="5" borderId="10" xfId="0" applyFont="1" applyFill="1" applyBorder="1" applyAlignment="1">
      <alignment horizontal="center" vertical="top" wrapText="1"/>
    </xf>
    <xf numFmtId="0" fontId="9" fillId="0" borderId="4"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170" fontId="9" fillId="0" borderId="4" xfId="0" applyNumberFormat="1" applyFont="1" applyBorder="1" applyAlignment="1" applyProtection="1">
      <alignment horizontal="left" vertical="center"/>
      <protection locked="0"/>
    </xf>
    <xf numFmtId="170" fontId="9" fillId="0" borderId="9" xfId="0" applyNumberFormat="1" applyFont="1" applyBorder="1" applyAlignment="1" applyProtection="1">
      <alignment horizontal="left" vertical="center"/>
      <protection locked="0"/>
    </xf>
    <xf numFmtId="0" fontId="11" fillId="0" borderId="0" xfId="0" applyFont="1" applyAlignment="1">
      <alignment horizontal="center" vertical="center" wrapText="1"/>
    </xf>
    <xf numFmtId="0" fontId="13" fillId="0" borderId="15" xfId="0" applyFont="1" applyBorder="1" applyAlignment="1">
      <alignment horizontal="justify" vertical="center" wrapText="1"/>
    </xf>
    <xf numFmtId="0" fontId="13" fillId="0" borderId="29" xfId="0" applyFont="1" applyBorder="1" applyAlignment="1">
      <alignment horizontal="justify" vertical="center" wrapText="1"/>
    </xf>
    <xf numFmtId="0" fontId="13" fillId="0" borderId="16" xfId="0" applyFont="1" applyBorder="1" applyAlignment="1">
      <alignment horizontal="justify" vertical="center" wrapText="1"/>
    </xf>
    <xf numFmtId="0" fontId="13" fillId="2" borderId="25" xfId="0" applyFont="1" applyFill="1" applyBorder="1" applyAlignment="1">
      <alignment horizontal="left" vertical="top" wrapText="1"/>
    </xf>
    <xf numFmtId="0" fontId="13" fillId="2" borderId="30" xfId="0" applyFont="1" applyFill="1" applyBorder="1" applyAlignment="1">
      <alignment horizontal="left" vertical="top" wrapText="1"/>
    </xf>
    <xf numFmtId="0" fontId="13" fillId="2" borderId="26" xfId="0" applyFont="1" applyFill="1" applyBorder="1" applyAlignment="1">
      <alignment horizontal="left" vertical="top" wrapText="1"/>
    </xf>
    <xf numFmtId="0" fontId="10" fillId="5" borderId="1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10" xfId="0" applyFont="1" applyFill="1" applyBorder="1" applyAlignment="1">
      <alignment horizontal="center" vertical="center" wrapText="1"/>
    </xf>
    <xf numFmtId="3" fontId="9" fillId="0" borderId="4" xfId="0" applyNumberFormat="1" applyFont="1" applyBorder="1" applyAlignment="1" applyProtection="1">
      <alignment horizontal="left" vertical="center"/>
      <protection locked="0"/>
    </xf>
    <xf numFmtId="3" fontId="9" fillId="0" borderId="9" xfId="0" applyNumberFormat="1" applyFont="1" applyBorder="1" applyAlignment="1" applyProtection="1">
      <alignment horizontal="left" vertical="center"/>
      <protection locked="0"/>
    </xf>
    <xf numFmtId="0" fontId="9" fillId="7" borderId="53" xfId="0" applyFont="1" applyFill="1" applyBorder="1" applyAlignment="1">
      <alignment horizontal="left" vertical="center" wrapText="1"/>
    </xf>
    <xf numFmtId="0" fontId="9" fillId="7" borderId="54" xfId="0" applyFont="1" applyFill="1" applyBorder="1" applyAlignment="1">
      <alignment horizontal="left" vertical="center" wrapText="1"/>
    </xf>
    <xf numFmtId="0" fontId="9" fillId="7" borderId="43" xfId="0" applyFont="1" applyFill="1" applyBorder="1" applyAlignment="1">
      <alignment horizontal="left" vertical="center" wrapText="1"/>
    </xf>
    <xf numFmtId="1" fontId="9" fillId="0" borderId="37" xfId="0" applyNumberFormat="1" applyFont="1" applyBorder="1" applyAlignment="1" applyProtection="1">
      <alignment horizontal="left" vertical="center"/>
      <protection locked="0"/>
    </xf>
    <xf numFmtId="1" fontId="9" fillId="0" borderId="34" xfId="0" applyNumberFormat="1" applyFont="1" applyBorder="1" applyAlignment="1" applyProtection="1">
      <alignment horizontal="left" vertical="center"/>
      <protection locked="0"/>
    </xf>
    <xf numFmtId="0" fontId="8" fillId="3" borderId="49" xfId="0" applyFont="1" applyFill="1" applyBorder="1" applyAlignment="1">
      <alignment horizontal="center" vertical="top" wrapText="1"/>
    </xf>
    <xf numFmtId="0" fontId="8" fillId="3" borderId="50" xfId="0" applyFont="1" applyFill="1" applyBorder="1" applyAlignment="1">
      <alignment horizontal="center" vertical="top" wrapText="1"/>
    </xf>
    <xf numFmtId="0" fontId="8" fillId="3" borderId="36" xfId="0" applyFont="1" applyFill="1" applyBorder="1" applyAlignment="1">
      <alignment horizontal="center" vertical="top" wrapText="1"/>
    </xf>
    <xf numFmtId="0" fontId="13" fillId="2" borderId="37"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22" fillId="2" borderId="0" xfId="0" applyFont="1" applyFill="1" applyAlignment="1">
      <alignment horizontal="center" vertical="center"/>
    </xf>
    <xf numFmtId="0" fontId="13" fillId="7" borderId="1" xfId="0" applyFont="1" applyFill="1" applyBorder="1" applyAlignment="1">
      <alignment horizontal="left" vertical="center"/>
    </xf>
    <xf numFmtId="0" fontId="13" fillId="7" borderId="3" xfId="0" applyFont="1" applyFill="1" applyBorder="1" applyAlignment="1">
      <alignment horizontal="left" vertical="center"/>
    </xf>
    <xf numFmtId="0" fontId="9" fillId="0" borderId="1" xfId="0" applyFont="1" applyBorder="1" applyAlignment="1">
      <alignment horizontal="left" vertical="center"/>
    </xf>
    <xf numFmtId="0" fontId="9" fillId="0" borderId="10" xfId="0" applyFont="1" applyBorder="1" applyAlignment="1">
      <alignment horizontal="left" vertical="center"/>
    </xf>
    <xf numFmtId="0" fontId="8" fillId="5" borderId="35" xfId="0" applyFont="1" applyFill="1" applyBorder="1" applyAlignment="1">
      <alignment horizontal="center" vertical="center"/>
    </xf>
    <xf numFmtId="0" fontId="8" fillId="5" borderId="36" xfId="0" applyFont="1" applyFill="1" applyBorder="1" applyAlignment="1">
      <alignment horizontal="center" vertical="center"/>
    </xf>
    <xf numFmtId="0" fontId="9" fillId="7" borderId="4" xfId="0" applyFont="1" applyFill="1" applyBorder="1" applyAlignment="1">
      <alignment horizontal="left" vertical="center"/>
    </xf>
    <xf numFmtId="167" fontId="9" fillId="0" borderId="4" xfId="0" applyNumberFormat="1" applyFont="1" applyBorder="1" applyAlignment="1" applyProtection="1">
      <alignment horizontal="left" vertical="center"/>
      <protection locked="0"/>
    </xf>
    <xf numFmtId="167" fontId="9" fillId="0" borderId="9" xfId="0" applyNumberFormat="1" applyFont="1" applyBorder="1" applyAlignment="1" applyProtection="1">
      <alignment horizontal="left" vertical="center"/>
      <protection locked="0"/>
    </xf>
    <xf numFmtId="0" fontId="10" fillId="3" borderId="22"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8" fillId="5" borderId="1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10" xfId="0" applyFont="1" applyFill="1" applyBorder="1" applyAlignment="1">
      <alignment horizontal="center" vertical="center"/>
    </xf>
    <xf numFmtId="0" fontId="9" fillId="7" borderId="19" xfId="0" applyFont="1" applyFill="1" applyBorder="1" applyAlignment="1">
      <alignment horizontal="left" vertical="center" wrapText="1"/>
    </xf>
    <xf numFmtId="0" fontId="9" fillId="7" borderId="20" xfId="0" applyFont="1" applyFill="1" applyBorder="1" applyAlignment="1">
      <alignment horizontal="left" vertical="center" wrapText="1"/>
    </xf>
    <xf numFmtId="0" fontId="9" fillId="0" borderId="20"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19" fillId="2" borderId="0" xfId="0" applyFont="1" applyFill="1" applyAlignment="1">
      <alignment horizontal="left" vertical="justify" wrapText="1"/>
    </xf>
    <xf numFmtId="0" fontId="19" fillId="2" borderId="0" xfId="0" applyFont="1" applyFill="1" applyAlignment="1">
      <alignment horizontal="center"/>
    </xf>
    <xf numFmtId="0" fontId="19" fillId="2" borderId="0" xfId="0" applyFont="1" applyFill="1" applyAlignment="1">
      <alignment vertical="center" wrapText="1"/>
    </xf>
    <xf numFmtId="0" fontId="19" fillId="2" borderId="0" xfId="0" applyFont="1" applyFill="1" applyAlignment="1">
      <alignment horizontal="justify"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8"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0" borderId="59" xfId="0" applyFont="1" applyBorder="1" applyAlignment="1" applyProtection="1">
      <alignment horizontal="left" vertical="center" wrapText="1"/>
      <protection locked="0"/>
    </xf>
    <xf numFmtId="0" fontId="9" fillId="0" borderId="57" xfId="0" applyFont="1" applyBorder="1" applyAlignment="1" applyProtection="1">
      <alignment horizontal="left" vertical="center" wrapText="1"/>
      <protection locked="0"/>
    </xf>
    <xf numFmtId="0" fontId="9" fillId="0" borderId="58" xfId="0" applyFont="1" applyBorder="1" applyAlignment="1" applyProtection="1">
      <alignment horizontal="left" vertical="center" wrapText="1"/>
      <protection locked="0"/>
    </xf>
    <xf numFmtId="0" fontId="9" fillId="7" borderId="11" xfId="0" applyFont="1" applyFill="1" applyBorder="1" applyAlignment="1">
      <alignment horizontal="left" vertical="center" wrapText="1"/>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164" fontId="9" fillId="0" borderId="4" xfId="0" applyNumberFormat="1" applyFont="1" applyBorder="1" applyAlignment="1" applyProtection="1">
      <alignment horizontal="left" vertical="center" wrapText="1"/>
      <protection locked="0"/>
    </xf>
    <xf numFmtId="164" fontId="9" fillId="0" borderId="9" xfId="0" applyNumberFormat="1" applyFont="1" applyBorder="1" applyAlignment="1" applyProtection="1">
      <alignment horizontal="left" vertical="center" wrapText="1"/>
      <protection locked="0"/>
    </xf>
    <xf numFmtId="165" fontId="9" fillId="0" borderId="1" xfId="0" applyNumberFormat="1" applyFont="1" applyBorder="1" applyAlignment="1" applyProtection="1">
      <alignment horizontal="left" vertical="center" wrapText="1"/>
      <protection locked="0"/>
    </xf>
    <xf numFmtId="165" fontId="9" fillId="0" borderId="2" xfId="0" applyNumberFormat="1" applyFont="1" applyBorder="1" applyAlignment="1" applyProtection="1">
      <alignment horizontal="left" vertical="center" wrapText="1"/>
      <protection locked="0"/>
    </xf>
    <xf numFmtId="165" fontId="9" fillId="0" borderId="10" xfId="0" applyNumberFormat="1" applyFont="1" applyBorder="1" applyAlignment="1" applyProtection="1">
      <alignment horizontal="left" vertical="center" wrapText="1"/>
      <protection locked="0"/>
    </xf>
    <xf numFmtId="0" fontId="9" fillId="0" borderId="4"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166" fontId="9" fillId="0" borderId="4" xfId="0" applyNumberFormat="1" applyFont="1" applyBorder="1" applyAlignment="1" applyProtection="1">
      <alignment horizontal="left" vertical="center"/>
      <protection locked="0"/>
    </xf>
    <xf numFmtId="166" fontId="9" fillId="0" borderId="9" xfId="0" applyNumberFormat="1" applyFont="1" applyBorder="1" applyAlignment="1" applyProtection="1">
      <alignment horizontal="left" vertical="center"/>
      <protection locked="0"/>
    </xf>
    <xf numFmtId="0" fontId="9" fillId="7" borderId="8" xfId="0" applyFont="1" applyFill="1" applyBorder="1" applyAlignment="1">
      <alignment horizontal="left" wrapText="1"/>
    </xf>
    <xf numFmtId="0" fontId="9" fillId="7" borderId="4" xfId="0" applyFont="1" applyFill="1" applyBorder="1" applyAlignment="1">
      <alignment horizontal="left" wrapText="1"/>
    </xf>
    <xf numFmtId="0" fontId="9" fillId="7" borderId="8" xfId="0" applyFont="1" applyFill="1" applyBorder="1" applyAlignment="1">
      <alignment horizontal="left" vertical="center"/>
    </xf>
    <xf numFmtId="0" fontId="9" fillId="7" borderId="27" xfId="0" applyFont="1" applyFill="1" applyBorder="1" applyAlignment="1">
      <alignment horizontal="left" vertical="center"/>
    </xf>
    <xf numFmtId="0" fontId="9" fillId="7" borderId="37" xfId="0" applyFont="1" applyFill="1" applyBorder="1" applyAlignment="1">
      <alignment horizontal="left" vertical="center"/>
    </xf>
    <xf numFmtId="0" fontId="17" fillId="0" borderId="37" xfId="6" applyFill="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11" fillId="5" borderId="11"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10" xfId="0" applyFont="1" applyFill="1" applyBorder="1" applyAlignment="1">
      <alignment horizontal="center" vertical="center"/>
    </xf>
    <xf numFmtId="0" fontId="9" fillId="7" borderId="1" xfId="0" applyFont="1" applyFill="1" applyBorder="1" applyAlignment="1">
      <alignment horizontal="left" vertical="center"/>
    </xf>
    <xf numFmtId="0" fontId="9" fillId="7" borderId="3" xfId="0" applyFont="1" applyFill="1" applyBorder="1" applyAlignment="1">
      <alignment horizontal="left" vertical="center"/>
    </xf>
    <xf numFmtId="0" fontId="9" fillId="0" borderId="1" xfId="0" applyFont="1" applyBorder="1" applyAlignment="1" applyProtection="1">
      <alignment horizontal="left" vertical="center"/>
      <protection locked="0"/>
    </xf>
    <xf numFmtId="0" fontId="9" fillId="0" borderId="2"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168" fontId="9" fillId="0" borderId="4" xfId="0" applyNumberFormat="1" applyFont="1" applyBorder="1" applyAlignment="1" applyProtection="1">
      <alignment horizontal="left" vertical="center"/>
      <protection locked="0"/>
    </xf>
    <xf numFmtId="168" fontId="9" fillId="0" borderId="9" xfId="0" applyNumberFormat="1" applyFont="1" applyBorder="1" applyAlignment="1" applyProtection="1">
      <alignment horizontal="left" vertical="center"/>
      <protection locked="0"/>
    </xf>
    <xf numFmtId="0" fontId="13" fillId="7" borderId="8" xfId="0" applyFont="1" applyFill="1" applyBorder="1" applyAlignment="1">
      <alignment horizontal="left" vertical="center"/>
    </xf>
    <xf numFmtId="0" fontId="13" fillId="7" borderId="4" xfId="0" applyFont="1" applyFill="1" applyBorder="1" applyAlignment="1">
      <alignment horizontal="left" vertical="center"/>
    </xf>
    <xf numFmtId="0" fontId="13" fillId="0" borderId="4"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11" fillId="3" borderId="49" xfId="0" applyFont="1" applyFill="1" applyBorder="1" applyAlignment="1">
      <alignment horizontal="center" vertical="center"/>
    </xf>
    <xf numFmtId="0" fontId="11" fillId="3" borderId="50" xfId="0" applyFont="1" applyFill="1" applyBorder="1" applyAlignment="1">
      <alignment horizontal="center" vertical="center"/>
    </xf>
    <xf numFmtId="0" fontId="11" fillId="3" borderId="36" xfId="0" applyFont="1" applyFill="1" applyBorder="1" applyAlignment="1">
      <alignment horizontal="center" vertical="center"/>
    </xf>
    <xf numFmtId="0" fontId="13" fillId="7" borderId="8"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9" xfId="0" applyFont="1" applyFill="1" applyBorder="1" applyAlignment="1">
      <alignment horizontal="left" vertical="center"/>
    </xf>
    <xf numFmtId="169" fontId="9" fillId="0" borderId="4" xfId="0" applyNumberFormat="1" applyFont="1" applyBorder="1" applyAlignment="1" applyProtection="1">
      <alignment horizontal="left" vertical="center"/>
      <protection locked="0"/>
    </xf>
    <xf numFmtId="169" fontId="9" fillId="0" borderId="9" xfId="0" applyNumberFormat="1" applyFont="1" applyBorder="1" applyAlignment="1" applyProtection="1">
      <alignment horizontal="left" vertical="center"/>
      <protection locked="0"/>
    </xf>
    <xf numFmtId="0" fontId="9" fillId="7" borderId="19" xfId="0" applyFont="1" applyFill="1" applyBorder="1" applyAlignment="1">
      <alignment horizontal="left" vertical="center"/>
    </xf>
    <xf numFmtId="0" fontId="9" fillId="7" borderId="20" xfId="0" applyFont="1" applyFill="1" applyBorder="1" applyAlignment="1">
      <alignment horizontal="left" vertical="center"/>
    </xf>
    <xf numFmtId="0" fontId="12" fillId="0" borderId="20"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9" fillId="7" borderId="27" xfId="0" applyFont="1" applyFill="1" applyBorder="1" applyAlignment="1">
      <alignment horizontal="left" vertical="center" wrapText="1"/>
    </xf>
    <xf numFmtId="0" fontId="9" fillId="7" borderId="28" xfId="0" applyFont="1" applyFill="1" applyBorder="1" applyAlignment="1">
      <alignment horizontal="left" vertical="center" wrapText="1"/>
    </xf>
    <xf numFmtId="0" fontId="9" fillId="7" borderId="1" xfId="0" applyFont="1" applyFill="1" applyBorder="1" applyAlignment="1">
      <alignment horizontal="justify" vertical="center"/>
    </xf>
    <xf numFmtId="0" fontId="9" fillId="7" borderId="3" xfId="0" applyFont="1" applyFill="1" applyBorder="1" applyAlignment="1">
      <alignment horizontal="justify" vertical="center"/>
    </xf>
    <xf numFmtId="0" fontId="9" fillId="7" borderId="1" xfId="0" applyFont="1" applyFill="1" applyBorder="1" applyAlignment="1">
      <alignment horizontal="left" vertical="center" wrapText="1"/>
    </xf>
    <xf numFmtId="14" fontId="9" fillId="0" borderId="4" xfId="0" applyNumberFormat="1" applyFont="1" applyBorder="1" applyAlignment="1" applyProtection="1">
      <alignment horizontal="left" vertical="center"/>
      <protection locked="0"/>
    </xf>
    <xf numFmtId="14" fontId="9" fillId="0" borderId="9" xfId="0" applyNumberFormat="1" applyFont="1" applyBorder="1" applyAlignment="1" applyProtection="1">
      <alignment horizontal="left" vertical="center"/>
      <protection locked="0"/>
    </xf>
    <xf numFmtId="0" fontId="9" fillId="7" borderId="8" xfId="0" applyFont="1" applyFill="1" applyBorder="1" applyAlignment="1">
      <alignment horizontal="left"/>
    </xf>
    <xf numFmtId="0" fontId="9" fillId="7" borderId="4" xfId="0" applyFont="1" applyFill="1" applyBorder="1" applyAlignment="1">
      <alignment horizontal="left"/>
    </xf>
    <xf numFmtId="0" fontId="9" fillId="7" borderId="37" xfId="0" applyFont="1" applyFill="1" applyBorder="1" applyAlignment="1">
      <alignment horizontal="left" vertical="center" wrapText="1"/>
    </xf>
    <xf numFmtId="0" fontId="9" fillId="0" borderId="37" xfId="0" applyFont="1" applyBorder="1" applyAlignment="1" applyProtection="1">
      <alignment horizontal="left" vertical="center" wrapText="1"/>
      <protection locked="0"/>
    </xf>
    <xf numFmtId="0" fontId="9" fillId="0" borderId="34" xfId="0" applyFont="1" applyBorder="1" applyAlignment="1" applyProtection="1">
      <alignment horizontal="left" vertical="center" wrapText="1"/>
      <protection locked="0"/>
    </xf>
    <xf numFmtId="0" fontId="13" fillId="7" borderId="4" xfId="0" applyFont="1" applyFill="1" applyBorder="1" applyAlignment="1">
      <alignment horizontal="left" vertical="center" wrapText="1"/>
    </xf>
    <xf numFmtId="0" fontId="9" fillId="0" borderId="1" xfId="0" applyFont="1" applyBorder="1" applyAlignment="1" applyProtection="1">
      <alignment vertical="center" wrapText="1"/>
      <protection locked="0"/>
    </xf>
    <xf numFmtId="0" fontId="9" fillId="0" borderId="2"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4" xfId="0" applyFont="1" applyBorder="1" applyProtection="1">
      <protection locked="0"/>
    </xf>
    <xf numFmtId="0" fontId="9" fillId="0" borderId="9" xfId="0" applyFont="1" applyBorder="1" applyProtection="1">
      <protection locked="0"/>
    </xf>
    <xf numFmtId="0" fontId="13" fillId="7" borderId="19" xfId="0" applyFont="1" applyFill="1" applyBorder="1" applyAlignment="1">
      <alignment horizontal="left" vertical="center" wrapText="1"/>
    </xf>
    <xf numFmtId="0" fontId="13" fillId="7" borderId="20" xfId="0" applyFont="1" applyFill="1" applyBorder="1" applyAlignment="1">
      <alignment horizontal="left" vertical="center" wrapText="1"/>
    </xf>
    <xf numFmtId="0" fontId="29" fillId="0" borderId="20" xfId="0" applyFont="1" applyBorder="1" applyAlignment="1" applyProtection="1">
      <alignment horizontal="left" vertical="center" wrapText="1"/>
      <protection locked="0"/>
    </xf>
    <xf numFmtId="0" fontId="29" fillId="0" borderId="21" xfId="0" applyFont="1" applyBorder="1" applyAlignment="1" applyProtection="1">
      <alignment horizontal="left" vertical="center" wrapText="1"/>
      <protection locked="0"/>
    </xf>
    <xf numFmtId="0" fontId="16" fillId="2" borderId="0" xfId="0" applyFont="1" applyFill="1" applyAlignment="1">
      <alignment horizontal="left"/>
    </xf>
    <xf numFmtId="0" fontId="9" fillId="7" borderId="12" xfId="0" applyFont="1" applyFill="1" applyBorder="1" applyAlignment="1">
      <alignment horizontal="left" vertical="center"/>
    </xf>
    <xf numFmtId="0" fontId="9" fillId="7" borderId="13" xfId="0" applyFont="1" applyFill="1" applyBorder="1" applyAlignment="1">
      <alignment horizontal="left" vertical="center"/>
    </xf>
    <xf numFmtId="0" fontId="17" fillId="0" borderId="68" xfId="6" applyBorder="1" applyAlignment="1" applyProtection="1">
      <alignment horizontal="left" vertical="center" wrapText="1"/>
      <protection locked="0"/>
    </xf>
    <xf numFmtId="0" fontId="9" fillId="0" borderId="68" xfId="0" applyFont="1" applyBorder="1" applyAlignment="1" applyProtection="1">
      <alignment horizontal="left" vertical="center" wrapText="1"/>
      <protection locked="0"/>
    </xf>
    <xf numFmtId="0" fontId="9" fillId="0" borderId="65" xfId="0" applyFont="1" applyBorder="1" applyAlignment="1" applyProtection="1">
      <alignment horizontal="left" vertical="center" wrapText="1"/>
      <protection locked="0"/>
    </xf>
    <xf numFmtId="0" fontId="11" fillId="3" borderId="22"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9" fillId="0" borderId="28" xfId="0" applyFont="1" applyBorder="1" applyAlignment="1" applyProtection="1">
      <alignment horizontal="justify" vertical="top" wrapText="1"/>
      <protection locked="0"/>
    </xf>
    <xf numFmtId="0" fontId="9" fillId="0" borderId="60" xfId="0" applyFont="1" applyBorder="1" applyAlignment="1" applyProtection="1">
      <alignment horizontal="justify" vertical="top" wrapText="1"/>
      <protection locked="0"/>
    </xf>
    <xf numFmtId="0" fontId="9" fillId="0" borderId="61" xfId="0" applyFont="1" applyBorder="1" applyAlignment="1" applyProtection="1">
      <alignment horizontal="justify" vertical="top" wrapText="1"/>
      <protection locked="0"/>
    </xf>
    <xf numFmtId="0" fontId="11" fillId="3" borderId="49"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9" fillId="7" borderId="8" xfId="0" applyFont="1" applyFill="1" applyBorder="1" applyAlignment="1">
      <alignment horizontal="justify" vertical="top" wrapText="1"/>
    </xf>
    <xf numFmtId="0" fontId="9" fillId="7" borderId="4" xfId="0" applyFont="1" applyFill="1" applyBorder="1" applyAlignment="1">
      <alignment horizontal="justify" vertical="top" wrapText="1"/>
    </xf>
    <xf numFmtId="171" fontId="9" fillId="0" borderId="4" xfId="0" applyNumberFormat="1" applyFont="1" applyBorder="1" applyAlignment="1" applyProtection="1">
      <alignment horizontal="left" vertical="center"/>
      <protection locked="0"/>
    </xf>
    <xf numFmtId="171" fontId="9" fillId="0" borderId="9" xfId="0" applyNumberFormat="1" applyFont="1" applyBorder="1" applyAlignment="1" applyProtection="1">
      <alignment horizontal="left" vertical="center"/>
      <protection locked="0"/>
    </xf>
    <xf numFmtId="0" fontId="11" fillId="3" borderId="17"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9" fillId="7" borderId="8" xfId="0" applyFont="1" applyFill="1" applyBorder="1" applyAlignment="1">
      <alignment horizontal="left" vertical="top"/>
    </xf>
    <xf numFmtId="0" fontId="9" fillId="7" borderId="4" xfId="0" applyFont="1" applyFill="1" applyBorder="1" applyAlignment="1">
      <alignment horizontal="left" vertical="top"/>
    </xf>
    <xf numFmtId="0" fontId="26" fillId="6" borderId="1" xfId="0"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5" fillId="6" borderId="2" xfId="0" applyFont="1" applyFill="1" applyBorder="1" applyAlignment="1">
      <alignment horizontal="center"/>
    </xf>
    <xf numFmtId="0" fontId="26" fillId="7" borderId="1" xfId="0" applyFont="1" applyFill="1" applyBorder="1" applyAlignment="1">
      <alignment horizontal="center" vertical="top" wrapText="1"/>
    </xf>
    <xf numFmtId="0" fontId="26" fillId="7" borderId="2" xfId="0" applyFont="1" applyFill="1" applyBorder="1" applyAlignment="1">
      <alignment horizontal="center" vertical="top" wrapText="1"/>
    </xf>
    <xf numFmtId="0" fontId="26" fillId="7" borderId="3" xfId="0" applyFont="1" applyFill="1" applyBorder="1" applyAlignment="1">
      <alignment horizontal="center" vertical="top" wrapText="1"/>
    </xf>
    <xf numFmtId="0" fontId="5" fillId="6" borderId="69" xfId="0" applyFont="1" applyFill="1" applyBorder="1" applyAlignment="1">
      <alignment horizontal="justify" vertical="top" wrapText="1"/>
    </xf>
    <xf numFmtId="0" fontId="5" fillId="6" borderId="0" xfId="0" applyFont="1" applyFill="1" applyAlignment="1">
      <alignment horizontal="justify" vertical="top" wrapText="1"/>
    </xf>
    <xf numFmtId="0" fontId="5" fillId="6" borderId="70" xfId="0" applyFont="1" applyFill="1" applyBorder="1" applyAlignment="1">
      <alignment horizontal="justify" vertical="top" wrapText="1"/>
    </xf>
    <xf numFmtId="172" fontId="35" fillId="9" borderId="69" xfId="0" applyNumberFormat="1" applyFont="1" applyFill="1" applyBorder="1" applyAlignment="1">
      <alignment horizontal="left" vertical="center"/>
    </xf>
    <xf numFmtId="172" fontId="35" fillId="9" borderId="0" xfId="0" applyNumberFormat="1" applyFont="1" applyFill="1" applyAlignment="1">
      <alignment horizontal="left" vertical="center"/>
    </xf>
    <xf numFmtId="0" fontId="29" fillId="0" borderId="20" xfId="0" applyFont="1" applyBorder="1" applyAlignment="1">
      <alignment horizontal="left" vertical="center" wrapText="1"/>
    </xf>
    <xf numFmtId="0" fontId="29" fillId="0" borderId="21" xfId="0" applyFont="1" applyBorder="1" applyAlignment="1">
      <alignment horizontal="left" vertical="center" wrapText="1"/>
    </xf>
    <xf numFmtId="0" fontId="9" fillId="0" borderId="37" xfId="0" applyFont="1" applyBorder="1" applyAlignment="1" applyProtection="1">
      <alignment horizontal="justify" vertical="center" wrapText="1"/>
      <protection locked="0"/>
    </xf>
    <xf numFmtId="0" fontId="9" fillId="0" borderId="34" xfId="0" applyFont="1" applyBorder="1" applyAlignment="1" applyProtection="1">
      <alignment horizontal="justify" vertical="center" wrapText="1"/>
      <protection locked="0"/>
    </xf>
    <xf numFmtId="0" fontId="9" fillId="0" borderId="4" xfId="0" applyFont="1" applyBorder="1" applyAlignment="1" applyProtection="1">
      <alignment horizontal="justify" vertical="center" wrapText="1"/>
      <protection locked="0"/>
    </xf>
    <xf numFmtId="0" fontId="9" fillId="0" borderId="9" xfId="0" applyFont="1" applyBorder="1" applyAlignment="1" applyProtection="1">
      <alignment horizontal="justify" vertical="center" wrapText="1"/>
      <protection locked="0"/>
    </xf>
    <xf numFmtId="0" fontId="9" fillId="0" borderId="20" xfId="0" applyFont="1" applyBorder="1" applyAlignment="1" applyProtection="1">
      <alignment horizontal="justify" vertical="center" wrapText="1"/>
      <protection locked="0"/>
    </xf>
    <xf numFmtId="0" fontId="9" fillId="0" borderId="21" xfId="0" applyFont="1" applyBorder="1" applyAlignment="1" applyProtection="1">
      <alignment horizontal="justify" vertical="center" wrapText="1"/>
      <protection locked="0"/>
    </xf>
    <xf numFmtId="14" fontId="9" fillId="0" borderId="4" xfId="0" applyNumberFormat="1" applyFont="1" applyBorder="1" applyAlignment="1" applyProtection="1">
      <alignment horizontal="justify" vertical="center"/>
      <protection locked="0"/>
    </xf>
    <xf numFmtId="14" fontId="9" fillId="0" borderId="9" xfId="0" applyNumberFormat="1" applyFont="1" applyBorder="1" applyAlignment="1" applyProtection="1">
      <alignment horizontal="justify"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14" fontId="9" fillId="0" borderId="1" xfId="0" applyNumberFormat="1" applyFont="1" applyBorder="1" applyAlignment="1" applyProtection="1">
      <alignment horizontal="justify" vertical="center"/>
      <protection locked="0"/>
    </xf>
    <xf numFmtId="0" fontId="9" fillId="0" borderId="2" xfId="0" applyFont="1" applyBorder="1" applyAlignment="1" applyProtection="1">
      <alignment horizontal="justify" vertical="center"/>
      <protection locked="0"/>
    </xf>
    <xf numFmtId="0" fontId="9" fillId="0" borderId="10" xfId="0" applyFont="1" applyBorder="1" applyAlignment="1" applyProtection="1">
      <alignment horizontal="justify" vertical="center"/>
      <protection locked="0"/>
    </xf>
    <xf numFmtId="1" fontId="9" fillId="0" borderId="4" xfId="0" applyNumberFormat="1" applyFont="1" applyBorder="1" applyAlignment="1" applyProtection="1">
      <alignment horizontal="left" vertical="center"/>
      <protection locked="0"/>
    </xf>
    <xf numFmtId="1" fontId="9" fillId="0" borderId="9" xfId="0" applyNumberFormat="1" applyFont="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9" xfId="0" applyFont="1" applyFill="1" applyBorder="1" applyAlignment="1" applyProtection="1">
      <alignment horizontal="left" vertical="center"/>
      <protection locked="0"/>
    </xf>
    <xf numFmtId="0" fontId="21" fillId="2" borderId="0" xfId="0" applyFont="1" applyFill="1" applyAlignment="1">
      <alignment horizontal="center"/>
    </xf>
    <xf numFmtId="0" fontId="9" fillId="2" borderId="8" xfId="0" applyFont="1" applyFill="1" applyBorder="1" applyAlignment="1">
      <alignment horizontal="left" vertical="center"/>
    </xf>
    <xf numFmtId="0" fontId="9" fillId="2" borderId="4" xfId="0" applyFont="1" applyFill="1" applyBorder="1" applyAlignment="1">
      <alignment horizontal="left" vertical="center"/>
    </xf>
    <xf numFmtId="0" fontId="30" fillId="2" borderId="20" xfId="0" applyFont="1" applyFill="1" applyBorder="1" applyAlignment="1" applyProtection="1">
      <alignment horizontal="left" vertical="center" wrapText="1"/>
      <protection locked="0"/>
    </xf>
    <xf numFmtId="0" fontId="30" fillId="2" borderId="21" xfId="0" applyFont="1" applyFill="1" applyBorder="1" applyAlignment="1" applyProtection="1">
      <alignment horizontal="left" vertical="center" wrapText="1"/>
      <protection locked="0"/>
    </xf>
    <xf numFmtId="168" fontId="30" fillId="2" borderId="20" xfId="0" applyNumberFormat="1" applyFont="1" applyFill="1" applyBorder="1" applyAlignment="1" applyProtection="1">
      <alignment horizontal="left" vertical="center" wrapText="1"/>
      <protection locked="0"/>
    </xf>
    <xf numFmtId="168" fontId="30" fillId="2" borderId="21" xfId="0" applyNumberFormat="1" applyFont="1" applyFill="1" applyBorder="1" applyAlignment="1" applyProtection="1">
      <alignment horizontal="left" vertical="center" wrapText="1"/>
      <protection locked="0"/>
    </xf>
    <xf numFmtId="0" fontId="9" fillId="2" borderId="27" xfId="0" applyFont="1" applyFill="1" applyBorder="1" applyAlignment="1">
      <alignment horizontal="left" vertical="center"/>
    </xf>
    <xf numFmtId="0" fontId="9" fillId="2" borderId="37" xfId="0" applyFont="1" applyFill="1" applyBorder="1" applyAlignment="1">
      <alignment horizontal="left" vertical="center"/>
    </xf>
    <xf numFmtId="0" fontId="5" fillId="2" borderId="15" xfId="0" applyFont="1" applyFill="1" applyBorder="1" applyAlignment="1">
      <alignment horizontal="justify" vertical="center" wrapText="1"/>
    </xf>
    <xf numFmtId="0" fontId="5" fillId="2" borderId="29" xfId="0" applyFont="1" applyFill="1" applyBorder="1" applyAlignment="1">
      <alignment horizontal="justify" vertical="center" wrapText="1"/>
    </xf>
    <xf numFmtId="0" fontId="5" fillId="2" borderId="16" xfId="0" applyFont="1" applyFill="1" applyBorder="1" applyAlignment="1">
      <alignment horizontal="justify" vertical="center" wrapText="1"/>
    </xf>
    <xf numFmtId="0" fontId="30" fillId="2" borderId="19" xfId="0" applyFont="1" applyFill="1" applyBorder="1" applyAlignment="1" applyProtection="1">
      <alignment horizontal="justify" vertical="top" wrapText="1"/>
      <protection locked="0"/>
    </xf>
    <xf numFmtId="0" fontId="30" fillId="2" borderId="20" xfId="0" applyFont="1" applyFill="1" applyBorder="1" applyAlignment="1" applyProtection="1">
      <alignment horizontal="justify" vertical="top" wrapText="1"/>
      <protection locked="0"/>
    </xf>
    <xf numFmtId="0" fontId="30" fillId="2" borderId="21" xfId="0" applyFont="1" applyFill="1" applyBorder="1" applyAlignment="1" applyProtection="1">
      <alignment horizontal="justify" vertical="top" wrapText="1"/>
      <protection locked="0"/>
    </xf>
    <xf numFmtId="0" fontId="11" fillId="2" borderId="8"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11" fillId="2" borderId="22"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3" fillId="2" borderId="5" xfId="0" applyFont="1" applyFill="1" applyBorder="1" applyAlignment="1">
      <alignment horizontal="justify" vertical="center" wrapText="1"/>
    </xf>
    <xf numFmtId="0" fontId="13" fillId="2" borderId="6" xfId="0" applyFont="1" applyFill="1" applyBorder="1" applyAlignment="1">
      <alignment horizontal="justify" vertical="center" wrapText="1"/>
    </xf>
    <xf numFmtId="0" fontId="13" fillId="2" borderId="7" xfId="0" applyFont="1" applyFill="1" applyBorder="1" applyAlignment="1">
      <alignment horizontal="justify" vertical="center" wrapText="1"/>
    </xf>
    <xf numFmtId="0" fontId="13" fillId="2" borderId="8" xfId="0" applyFont="1" applyFill="1" applyBorder="1" applyAlignment="1">
      <alignment horizontal="justify" vertical="center" wrapText="1"/>
    </xf>
    <xf numFmtId="0" fontId="13" fillId="2" borderId="4" xfId="0" applyFont="1" applyFill="1" applyBorder="1" applyAlignment="1">
      <alignment horizontal="justify" vertical="center" wrapText="1"/>
    </xf>
    <xf numFmtId="0" fontId="13" fillId="2" borderId="9" xfId="0" applyFont="1" applyFill="1" applyBorder="1" applyAlignment="1">
      <alignment horizontal="justify" vertical="center" wrapText="1"/>
    </xf>
    <xf numFmtId="0" fontId="13" fillId="2" borderId="27" xfId="0" applyFont="1" applyFill="1" applyBorder="1" applyAlignment="1">
      <alignment horizontal="justify" vertical="center" wrapText="1"/>
    </xf>
    <xf numFmtId="0" fontId="13" fillId="2" borderId="37" xfId="0" applyFont="1" applyFill="1" applyBorder="1" applyAlignment="1">
      <alignment horizontal="justify" vertical="center" wrapText="1"/>
    </xf>
    <xf numFmtId="0" fontId="13" fillId="2" borderId="34" xfId="0" applyFont="1" applyFill="1" applyBorder="1" applyAlignment="1">
      <alignment horizontal="justify" vertical="center" wrapText="1"/>
    </xf>
    <xf numFmtId="0" fontId="13" fillId="2" borderId="17"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8" xfId="0" applyFont="1" applyFill="1" applyBorder="1" applyAlignment="1">
      <alignment horizontal="left" vertical="top" wrapText="1"/>
    </xf>
    <xf numFmtId="0" fontId="9" fillId="2" borderId="19" xfId="0" applyFont="1" applyFill="1" applyBorder="1" applyAlignment="1">
      <alignment horizontal="left" vertical="center"/>
    </xf>
    <xf numFmtId="0" fontId="9" fillId="2" borderId="20" xfId="0" applyFont="1" applyFill="1" applyBorder="1" applyAlignment="1">
      <alignment horizontal="left" vertical="center"/>
    </xf>
    <xf numFmtId="0" fontId="30" fillId="2" borderId="20" xfId="0" applyFont="1" applyFill="1" applyBorder="1" applyAlignment="1" applyProtection="1">
      <alignment horizontal="justify" vertical="center" wrapText="1"/>
      <protection locked="0"/>
    </xf>
    <xf numFmtId="0" fontId="30" fillId="2" borderId="21" xfId="0" applyFont="1" applyFill="1" applyBorder="1" applyAlignment="1" applyProtection="1">
      <alignment horizontal="justify" vertical="center" wrapText="1"/>
      <protection locked="0"/>
    </xf>
    <xf numFmtId="0" fontId="9" fillId="2" borderId="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22" xfId="0" applyFont="1" applyFill="1" applyBorder="1" applyAlignment="1">
      <alignment horizontal="center" vertical="top" wrapText="1"/>
    </xf>
    <xf numFmtId="0" fontId="8" fillId="2" borderId="52" xfId="0" applyFont="1" applyFill="1" applyBorder="1" applyAlignment="1">
      <alignment horizontal="center" vertical="top" wrapText="1"/>
    </xf>
    <xf numFmtId="0" fontId="8" fillId="2" borderId="48" xfId="0" applyFont="1" applyFill="1" applyBorder="1" applyAlignment="1">
      <alignment horizontal="center" vertical="top"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0" xfId="0" applyFont="1" applyFill="1" applyAlignment="1">
      <alignment horizontal="center" vertical="center" wrapText="1"/>
    </xf>
    <xf numFmtId="2" fontId="30" fillId="2" borderId="4" xfId="0" applyNumberFormat="1" applyFont="1" applyFill="1" applyBorder="1" applyAlignment="1" applyProtection="1">
      <alignment horizontal="left" vertical="center"/>
      <protection locked="0"/>
    </xf>
    <xf numFmtId="2" fontId="30" fillId="2" borderId="9" xfId="0" applyNumberFormat="1" applyFont="1" applyFill="1" applyBorder="1" applyAlignment="1" applyProtection="1">
      <alignment horizontal="left" vertical="center"/>
      <protection locked="0"/>
    </xf>
    <xf numFmtId="0" fontId="11" fillId="2" borderId="22" xfId="0" applyFont="1" applyFill="1" applyBorder="1" applyAlignment="1">
      <alignment horizontal="center" vertical="center"/>
    </xf>
    <xf numFmtId="0" fontId="11" fillId="2" borderId="52" xfId="0" applyFont="1" applyFill="1" applyBorder="1" applyAlignment="1">
      <alignment horizontal="center" vertical="center"/>
    </xf>
    <xf numFmtId="0" fontId="11" fillId="2" borderId="48" xfId="0" applyFont="1" applyFill="1" applyBorder="1" applyAlignment="1">
      <alignment horizontal="center" vertical="center"/>
    </xf>
    <xf numFmtId="3" fontId="30" fillId="2" borderId="4" xfId="0" applyNumberFormat="1" applyFont="1" applyFill="1" applyBorder="1" applyAlignment="1" applyProtection="1">
      <alignment horizontal="left" vertical="center"/>
      <protection locked="0"/>
    </xf>
    <xf numFmtId="3" fontId="30" fillId="2" borderId="9" xfId="0" applyNumberFormat="1" applyFont="1" applyFill="1" applyBorder="1" applyAlignment="1" applyProtection="1">
      <alignment horizontal="left" vertical="center"/>
      <protection locked="0"/>
    </xf>
    <xf numFmtId="0" fontId="30" fillId="2" borderId="4" xfId="0" applyFont="1" applyFill="1" applyBorder="1" applyAlignment="1" applyProtection="1">
      <alignment horizontal="left" vertical="center"/>
      <protection locked="0"/>
    </xf>
    <xf numFmtId="0" fontId="30" fillId="2" borderId="9" xfId="0" applyFont="1" applyFill="1" applyBorder="1" applyAlignment="1" applyProtection="1">
      <alignment horizontal="left" vertical="center"/>
      <protection locked="0"/>
    </xf>
    <xf numFmtId="0" fontId="10" fillId="2" borderId="22"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48" xfId="0" applyFont="1" applyFill="1" applyBorder="1" applyAlignment="1">
      <alignment horizontal="center" vertical="center" wrapText="1"/>
    </xf>
    <xf numFmtId="164" fontId="30" fillId="2" borderId="4" xfId="0" applyNumberFormat="1" applyFont="1" applyFill="1" applyBorder="1" applyAlignment="1" applyProtection="1">
      <alignment horizontal="left" vertical="center" wrapText="1"/>
      <protection locked="0"/>
    </xf>
    <xf numFmtId="164" fontId="30" fillId="2" borderId="9" xfId="0" applyNumberFormat="1" applyFont="1" applyFill="1" applyBorder="1" applyAlignment="1" applyProtection="1">
      <alignment horizontal="left" vertical="center" wrapText="1"/>
      <protection locked="0"/>
    </xf>
    <xf numFmtId="165" fontId="30" fillId="2" borderId="4" xfId="0" applyNumberFormat="1" applyFont="1" applyFill="1" applyBorder="1" applyAlignment="1" applyProtection="1">
      <alignment horizontal="left" vertical="center" wrapText="1"/>
      <protection locked="0"/>
    </xf>
    <xf numFmtId="165" fontId="30" fillId="2" borderId="9" xfId="0" applyNumberFormat="1" applyFont="1" applyFill="1" applyBorder="1" applyAlignment="1" applyProtection="1">
      <alignment horizontal="left" vertical="center" wrapText="1"/>
      <protection locked="0"/>
    </xf>
    <xf numFmtId="0" fontId="9" fillId="2" borderId="27" xfId="0" applyFont="1" applyFill="1" applyBorder="1" applyAlignment="1">
      <alignment horizontal="left" vertical="center" wrapText="1"/>
    </xf>
    <xf numFmtId="0" fontId="30" fillId="2" borderId="4" xfId="0" applyFont="1" applyFill="1" applyBorder="1" applyAlignment="1" applyProtection="1">
      <alignment horizontal="left" vertical="center" wrapText="1"/>
      <protection locked="0"/>
    </xf>
    <xf numFmtId="0" fontId="30" fillId="2" borderId="9" xfId="0" applyFont="1" applyFill="1" applyBorder="1" applyAlignment="1" applyProtection="1">
      <alignment horizontal="left" vertical="center" wrapText="1"/>
      <protection locked="0"/>
    </xf>
    <xf numFmtId="166" fontId="30" fillId="2" borderId="4" xfId="0" applyNumberFormat="1" applyFont="1" applyFill="1" applyBorder="1" applyAlignment="1" applyProtection="1">
      <alignment horizontal="left" vertical="center"/>
      <protection locked="0"/>
    </xf>
    <xf numFmtId="166" fontId="30" fillId="2" borderId="9" xfId="0" applyNumberFormat="1" applyFont="1" applyFill="1" applyBorder="1" applyAlignment="1" applyProtection="1">
      <alignment horizontal="left" vertical="center"/>
      <protection locked="0"/>
    </xf>
    <xf numFmtId="167" fontId="30" fillId="2" borderId="4" xfId="0" applyNumberFormat="1" applyFont="1" applyFill="1" applyBorder="1" applyAlignment="1" applyProtection="1">
      <alignment horizontal="left" vertical="center"/>
      <protection locked="0"/>
    </xf>
    <xf numFmtId="167" fontId="30" fillId="2" borderId="9" xfId="0" applyNumberFormat="1" applyFont="1" applyFill="1" applyBorder="1" applyAlignment="1" applyProtection="1">
      <alignment horizontal="left" vertical="center"/>
      <protection locked="0"/>
    </xf>
    <xf numFmtId="168" fontId="30" fillId="2" borderId="4" xfId="0" applyNumberFormat="1" applyFont="1" applyFill="1" applyBorder="1" applyAlignment="1" applyProtection="1">
      <alignment horizontal="left" vertical="center"/>
      <protection locked="0"/>
    </xf>
    <xf numFmtId="168" fontId="30" fillId="2" borderId="9" xfId="0" applyNumberFormat="1" applyFont="1" applyFill="1" applyBorder="1" applyAlignment="1" applyProtection="1">
      <alignment horizontal="left" vertical="center"/>
      <protection locked="0"/>
    </xf>
    <xf numFmtId="166" fontId="30" fillId="0" borderId="4" xfId="0" applyNumberFormat="1" applyFont="1" applyBorder="1" applyAlignment="1" applyProtection="1">
      <alignment horizontal="left" vertical="center"/>
      <protection locked="0"/>
    </xf>
    <xf numFmtId="166" fontId="30" fillId="0" borderId="9" xfId="0" applyNumberFormat="1" applyFont="1" applyBorder="1" applyAlignment="1" applyProtection="1">
      <alignment horizontal="left" vertical="center"/>
      <protection locked="0"/>
    </xf>
    <xf numFmtId="167" fontId="30" fillId="0" borderId="4" xfId="0" applyNumberFormat="1" applyFont="1" applyBorder="1" applyAlignment="1" applyProtection="1">
      <alignment horizontal="left" vertical="center"/>
      <protection locked="0"/>
    </xf>
    <xf numFmtId="167" fontId="30" fillId="0" borderId="9" xfId="0" applyNumberFormat="1" applyFont="1" applyBorder="1" applyAlignment="1" applyProtection="1">
      <alignment horizontal="left" vertical="center"/>
      <protection locked="0"/>
    </xf>
    <xf numFmtId="0" fontId="33" fillId="0" borderId="37" xfId="6" applyFont="1" applyFill="1" applyBorder="1" applyAlignment="1" applyProtection="1">
      <alignment horizontal="left" vertical="center"/>
      <protection locked="0"/>
    </xf>
    <xf numFmtId="0" fontId="30" fillId="0" borderId="37" xfId="0" applyFont="1" applyBorder="1" applyAlignment="1" applyProtection="1">
      <alignment horizontal="left" vertical="center"/>
      <protection locked="0"/>
    </xf>
    <xf numFmtId="0" fontId="30" fillId="0" borderId="34" xfId="0" applyFont="1" applyBorder="1" applyAlignment="1" applyProtection="1">
      <alignment horizontal="left" vertical="center"/>
      <protection locked="0"/>
    </xf>
    <xf numFmtId="0" fontId="9" fillId="2" borderId="37" xfId="0" applyFont="1" applyFill="1" applyBorder="1" applyAlignment="1">
      <alignment horizontal="left" vertical="center" wrapText="1"/>
    </xf>
    <xf numFmtId="0" fontId="9" fillId="2" borderId="8" xfId="0" applyFont="1" applyFill="1" applyBorder="1" applyAlignment="1">
      <alignment horizontal="justify" vertical="top" wrapText="1"/>
    </xf>
    <xf numFmtId="0" fontId="9" fillId="2" borderId="4" xfId="0" applyFont="1" applyFill="1" applyBorder="1" applyAlignment="1">
      <alignment horizontal="justify" vertical="top" wrapText="1"/>
    </xf>
    <xf numFmtId="171" fontId="30" fillId="2" borderId="20" xfId="0" applyNumberFormat="1" applyFont="1" applyFill="1" applyBorder="1" applyAlignment="1" applyProtection="1">
      <alignment horizontal="justify" vertical="center" wrapText="1"/>
      <protection locked="0"/>
    </xf>
    <xf numFmtId="171" fontId="30" fillId="2" borderId="21" xfId="0" applyNumberFormat="1" applyFont="1" applyFill="1" applyBorder="1" applyAlignment="1" applyProtection="1">
      <alignment horizontal="justify" vertical="center" wrapText="1"/>
      <protection locked="0"/>
    </xf>
    <xf numFmtId="0" fontId="9" fillId="2" borderId="8" xfId="0" applyFont="1" applyFill="1" applyBorder="1" applyAlignment="1">
      <alignment horizontal="left" vertical="top"/>
    </xf>
    <xf numFmtId="0" fontId="9" fillId="2" borderId="4" xfId="0" applyFont="1" applyFill="1" applyBorder="1" applyAlignment="1">
      <alignment horizontal="left" vertical="top"/>
    </xf>
    <xf numFmtId="0" fontId="9" fillId="2" borderId="8" xfId="0" applyFont="1" applyFill="1" applyBorder="1" applyAlignment="1">
      <alignment horizontal="left"/>
    </xf>
    <xf numFmtId="0" fontId="9" fillId="2" borderId="4" xfId="0" applyFont="1" applyFill="1" applyBorder="1" applyAlignment="1">
      <alignment horizontal="left"/>
    </xf>
    <xf numFmtId="14" fontId="30" fillId="2" borderId="4" xfId="0" applyNumberFormat="1" applyFont="1" applyFill="1" applyBorder="1" applyAlignment="1" applyProtection="1">
      <alignment horizontal="left" vertical="center"/>
      <protection locked="0"/>
    </xf>
    <xf numFmtId="14" fontId="30" fillId="2" borderId="9" xfId="0" applyNumberFormat="1" applyFont="1" applyFill="1" applyBorder="1" applyAlignment="1" applyProtection="1">
      <alignment horizontal="left" vertical="center"/>
      <protection locked="0"/>
    </xf>
    <xf numFmtId="0" fontId="13" fillId="2" borderId="19" xfId="0" applyFont="1" applyFill="1" applyBorder="1" applyAlignment="1">
      <alignment horizontal="left" vertical="center" wrapText="1"/>
    </xf>
    <xf numFmtId="0" fontId="13" fillId="2" borderId="20" xfId="0" applyFont="1" applyFill="1" applyBorder="1" applyAlignment="1">
      <alignment horizontal="left" vertical="center" wrapText="1"/>
    </xf>
    <xf numFmtId="169" fontId="30" fillId="2" borderId="4" xfId="0" applyNumberFormat="1" applyFont="1" applyFill="1" applyBorder="1" applyAlignment="1" applyProtection="1">
      <alignment horizontal="left" vertical="center"/>
      <protection locked="0"/>
    </xf>
    <xf numFmtId="169" fontId="30" fillId="2" borderId="9" xfId="0" applyNumberFormat="1" applyFont="1" applyFill="1" applyBorder="1" applyAlignment="1" applyProtection="1">
      <alignment horizontal="left" vertical="center"/>
      <protection locked="0"/>
    </xf>
    <xf numFmtId="169" fontId="30" fillId="2" borderId="4" xfId="0" applyNumberFormat="1" applyFont="1" applyFill="1" applyBorder="1" applyAlignment="1" applyProtection="1">
      <alignment horizontal="justify" vertical="center" wrapText="1"/>
      <protection locked="0"/>
    </xf>
    <xf numFmtId="169" fontId="30" fillId="2" borderId="9" xfId="0" applyNumberFormat="1" applyFont="1" applyFill="1" applyBorder="1" applyAlignment="1" applyProtection="1">
      <alignment horizontal="justify" vertical="center" wrapText="1"/>
      <protection locked="0"/>
    </xf>
    <xf numFmtId="0" fontId="9" fillId="2" borderId="4" xfId="0" applyFont="1" applyFill="1" applyBorder="1" applyAlignment="1">
      <alignment horizontal="justify" vertical="center"/>
    </xf>
    <xf numFmtId="0" fontId="30" fillId="2" borderId="4" xfId="0" applyFont="1" applyFill="1" applyBorder="1" applyAlignment="1">
      <alignment horizontal="left" vertical="center"/>
    </xf>
    <xf numFmtId="0" fontId="30" fillId="2" borderId="9" xfId="0" applyFont="1" applyFill="1" applyBorder="1" applyAlignment="1">
      <alignment horizontal="left" vertical="center"/>
    </xf>
    <xf numFmtId="0" fontId="13" fillId="2" borderId="4" xfId="0" applyFont="1" applyFill="1" applyBorder="1" applyAlignment="1">
      <alignment horizontal="left" vertical="center"/>
    </xf>
    <xf numFmtId="0" fontId="16"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31" fillId="2" borderId="37" xfId="6" applyFont="1" applyFill="1" applyBorder="1" applyAlignment="1" applyProtection="1">
      <alignment horizontal="left" vertical="center"/>
      <protection locked="0"/>
    </xf>
    <xf numFmtId="0" fontId="30" fillId="2" borderId="37" xfId="0" applyFont="1" applyFill="1" applyBorder="1" applyAlignment="1" applyProtection="1">
      <alignment horizontal="left" vertical="center"/>
      <protection locked="0"/>
    </xf>
    <xf numFmtId="0" fontId="30" fillId="2" borderId="34" xfId="0" applyFont="1" applyFill="1" applyBorder="1" applyAlignment="1" applyProtection="1">
      <alignment horizontal="left" vertical="center"/>
      <protection locked="0"/>
    </xf>
    <xf numFmtId="0" fontId="32" fillId="2" borderId="20" xfId="0" applyFont="1" applyFill="1" applyBorder="1" applyAlignment="1" applyProtection="1">
      <alignment horizontal="left" vertical="center" wrapText="1"/>
      <protection locked="0"/>
    </xf>
    <xf numFmtId="0" fontId="32" fillId="2" borderId="21" xfId="0" applyFont="1" applyFill="1" applyBorder="1" applyAlignment="1" applyProtection="1">
      <alignment horizontal="left" vertical="center" wrapText="1"/>
      <protection locked="0"/>
    </xf>
    <xf numFmtId="0" fontId="13" fillId="2" borderId="8" xfId="0" applyFont="1" applyFill="1" applyBorder="1" applyAlignment="1">
      <alignment horizontal="left" vertical="center"/>
    </xf>
    <xf numFmtId="0" fontId="1" fillId="2" borderId="4"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164" fontId="30" fillId="0" borderId="4" xfId="0" applyNumberFormat="1" applyFont="1" applyBorder="1" applyAlignment="1" applyProtection="1">
      <alignment horizontal="left" vertical="center" wrapText="1"/>
      <protection locked="0"/>
    </xf>
    <xf numFmtId="164" fontId="30" fillId="0" borderId="9" xfId="0" applyNumberFormat="1" applyFont="1" applyBorder="1" applyAlignment="1" applyProtection="1">
      <alignment horizontal="left" vertical="center" wrapText="1"/>
      <protection locked="0"/>
    </xf>
    <xf numFmtId="165" fontId="30" fillId="0" borderId="1" xfId="0" applyNumberFormat="1" applyFont="1" applyBorder="1" applyAlignment="1" applyProtection="1">
      <alignment horizontal="left" vertical="center" wrapText="1"/>
      <protection locked="0"/>
    </xf>
    <xf numFmtId="165" fontId="30" fillId="0" borderId="2" xfId="0" applyNumberFormat="1" applyFont="1" applyBorder="1" applyAlignment="1" applyProtection="1">
      <alignment horizontal="left" vertical="center" wrapText="1"/>
      <protection locked="0"/>
    </xf>
    <xf numFmtId="165" fontId="30" fillId="0" borderId="10" xfId="0" applyNumberFormat="1" applyFont="1" applyBorder="1" applyAlignment="1" applyProtection="1">
      <alignment horizontal="left" vertical="center" wrapText="1"/>
      <protection locked="0"/>
    </xf>
    <xf numFmtId="0" fontId="9" fillId="2" borderId="8" xfId="0" applyFont="1" applyFill="1" applyBorder="1" applyAlignment="1">
      <alignment horizontal="left" wrapText="1"/>
    </xf>
    <xf numFmtId="0" fontId="9" fillId="2" borderId="4" xfId="0" applyFont="1" applyFill="1" applyBorder="1" applyAlignment="1">
      <alignment horizontal="left" wrapText="1"/>
    </xf>
    <xf numFmtId="0" fontId="19" fillId="2" borderId="0" xfId="0" applyFont="1" applyFill="1" applyAlignment="1">
      <alignment horizontal="justify" vertical="justify" wrapText="1"/>
    </xf>
    <xf numFmtId="0" fontId="34" fillId="2" borderId="0" xfId="6" applyFont="1" applyFill="1" applyAlignment="1" applyProtection="1">
      <alignment horizontal="center"/>
      <protection locked="0"/>
    </xf>
    <xf numFmtId="0" fontId="0" fillId="0" borderId="4" xfId="0" applyBorder="1" applyAlignment="1">
      <alignment horizontal="justify" vertical="center"/>
    </xf>
    <xf numFmtId="0" fontId="0" fillId="0" borderId="9" xfId="0" applyBorder="1" applyAlignment="1">
      <alignment horizontal="justify" vertical="center"/>
    </xf>
    <xf numFmtId="0" fontId="0" fillId="0" borderId="13" xfId="0" applyBorder="1" applyAlignment="1">
      <alignment horizontal="justify" vertical="center"/>
    </xf>
    <xf numFmtId="0" fontId="0" fillId="0" borderId="14" xfId="0" applyBorder="1" applyAlignment="1">
      <alignment horizontal="justify" vertical="center"/>
    </xf>
    <xf numFmtId="0" fontId="28" fillId="0" borderId="20" xfId="0" applyFont="1" applyBorder="1" applyAlignment="1">
      <alignment horizontal="center"/>
    </xf>
    <xf numFmtId="0" fontId="28" fillId="0" borderId="21" xfId="0" applyFont="1" applyBorder="1" applyAlignment="1">
      <alignment horizontal="center"/>
    </xf>
    <xf numFmtId="0" fontId="0" fillId="0" borderId="4" xfId="0" applyBorder="1" applyAlignment="1">
      <alignment horizontal="justify" vertical="center" wrapText="1"/>
    </xf>
    <xf numFmtId="0" fontId="0" fillId="0" borderId="9" xfId="0" applyBorder="1" applyAlignment="1">
      <alignment horizontal="justify" vertical="center" wrapText="1"/>
    </xf>
    <xf numFmtId="0" fontId="0" fillId="7" borderId="31" xfId="0" applyFill="1" applyBorder="1" applyAlignment="1">
      <alignment horizontal="center"/>
    </xf>
    <xf numFmtId="0" fontId="0" fillId="7" borderId="24" xfId="0" applyFill="1" applyBorder="1" applyAlignment="1">
      <alignment horizontal="center"/>
    </xf>
    <xf numFmtId="0" fontId="28" fillId="4" borderId="49" xfId="0" applyFont="1" applyFill="1" applyBorder="1" applyAlignment="1">
      <alignment horizontal="center"/>
    </xf>
    <xf numFmtId="0" fontId="28" fillId="4" borderId="50" xfId="0" applyFont="1" applyFill="1" applyBorder="1" applyAlignment="1">
      <alignment horizontal="center"/>
    </xf>
    <xf numFmtId="0" fontId="28" fillId="4" borderId="36" xfId="0" applyFont="1" applyFill="1" applyBorder="1" applyAlignment="1">
      <alignment horizontal="center"/>
    </xf>
    <xf numFmtId="0" fontId="28" fillId="4" borderId="62" xfId="0" applyFont="1" applyFill="1" applyBorder="1" applyAlignment="1">
      <alignment horizontal="center" vertical="top" wrapText="1"/>
    </xf>
    <xf numFmtId="0" fontId="28" fillId="4" borderId="63" xfId="0" applyFont="1" applyFill="1" applyBorder="1" applyAlignment="1">
      <alignment horizontal="center" vertical="top" wrapText="1"/>
    </xf>
    <xf numFmtId="0" fontId="28" fillId="4" borderId="66" xfId="0" applyFont="1" applyFill="1" applyBorder="1" applyAlignment="1">
      <alignment horizontal="center" vertical="top" wrapText="1"/>
    </xf>
    <xf numFmtId="0" fontId="0" fillId="4" borderId="49" xfId="0" applyFill="1" applyBorder="1" applyAlignment="1">
      <alignment horizontal="left" vertical="top" wrapText="1"/>
    </xf>
    <xf numFmtId="0" fontId="0" fillId="4" borderId="47" xfId="0" applyFill="1" applyBorder="1" applyAlignment="1">
      <alignment horizontal="left" vertical="top" wrapText="1"/>
    </xf>
    <xf numFmtId="0" fontId="28" fillId="4" borderId="22" xfId="0" applyFont="1" applyFill="1" applyBorder="1" applyAlignment="1">
      <alignment horizontal="right" vertical="top" wrapText="1"/>
    </xf>
    <xf numFmtId="0" fontId="28" fillId="4" borderId="52" xfId="0" applyFont="1" applyFill="1" applyBorder="1" applyAlignment="1">
      <alignment horizontal="right" vertical="top" wrapText="1"/>
    </xf>
    <xf numFmtId="0" fontId="26" fillId="4" borderId="40" xfId="0" applyFont="1" applyFill="1" applyBorder="1" applyAlignment="1">
      <alignment horizontal="center" vertical="center" textRotation="255" wrapText="1"/>
    </xf>
    <xf numFmtId="0" fontId="26" fillId="4" borderId="41" xfId="0" applyFont="1" applyFill="1" applyBorder="1" applyAlignment="1">
      <alignment horizontal="center" vertical="center" textRotation="255" wrapText="1"/>
    </xf>
    <xf numFmtId="0" fontId="26" fillId="4" borderId="42" xfId="0" applyFont="1" applyFill="1" applyBorder="1" applyAlignment="1">
      <alignment horizontal="center" vertical="center" textRotation="255" wrapText="1"/>
    </xf>
    <xf numFmtId="0" fontId="28" fillId="4" borderId="22" xfId="0" applyFont="1" applyFill="1" applyBorder="1" applyAlignment="1">
      <alignment horizontal="left" vertical="top" wrapText="1"/>
    </xf>
    <xf numFmtId="0" fontId="28" fillId="4" borderId="52" xfId="0" applyFont="1" applyFill="1" applyBorder="1" applyAlignment="1">
      <alignment horizontal="left" vertical="top" wrapText="1"/>
    </xf>
    <xf numFmtId="0" fontId="28" fillId="4" borderId="48" xfId="0" applyFont="1" applyFill="1" applyBorder="1" applyAlignment="1">
      <alignment horizontal="left" vertical="top" wrapText="1"/>
    </xf>
    <xf numFmtId="0" fontId="28" fillId="4" borderId="49" xfId="0" applyFont="1" applyFill="1" applyBorder="1" applyAlignment="1">
      <alignment horizontal="left" vertical="top" wrapText="1"/>
    </xf>
    <xf numFmtId="0" fontId="28" fillId="4" borderId="50" xfId="0" applyFont="1" applyFill="1" applyBorder="1" applyAlignment="1">
      <alignment horizontal="left" vertical="top" wrapText="1"/>
    </xf>
    <xf numFmtId="0" fontId="28" fillId="4" borderId="36" xfId="0" applyFont="1" applyFill="1" applyBorder="1" applyAlignment="1">
      <alignment horizontal="left" vertical="top" wrapText="1"/>
    </xf>
    <xf numFmtId="0" fontId="28" fillId="7" borderId="37" xfId="0" applyFont="1" applyFill="1" applyBorder="1" applyAlignment="1">
      <alignment horizontal="center"/>
    </xf>
    <xf numFmtId="0" fontId="26" fillId="4" borderId="38" xfId="0" applyFont="1" applyFill="1" applyBorder="1" applyAlignment="1">
      <alignment horizontal="center" vertical="center" textRotation="255"/>
    </xf>
    <xf numFmtId="0" fontId="26" fillId="4" borderId="39" xfId="0" applyFont="1" applyFill="1" applyBorder="1" applyAlignment="1">
      <alignment horizontal="center" vertical="center" textRotation="255"/>
    </xf>
    <xf numFmtId="0" fontId="26" fillId="4" borderId="11" xfId="0" applyFont="1" applyFill="1" applyBorder="1" applyAlignment="1">
      <alignment horizontal="center" vertical="center" textRotation="255"/>
    </xf>
    <xf numFmtId="0" fontId="26" fillId="4" borderId="51" xfId="0" applyFont="1" applyFill="1" applyBorder="1" applyAlignment="1">
      <alignment horizontal="center" vertical="center" textRotation="255"/>
    </xf>
    <xf numFmtId="0" fontId="28" fillId="4" borderId="64" xfId="0" applyFont="1" applyFill="1" applyBorder="1" applyAlignment="1">
      <alignment horizontal="right" vertical="top" wrapText="1"/>
    </xf>
    <xf numFmtId="0" fontId="28" fillId="4" borderId="65" xfId="0" applyFont="1" applyFill="1" applyBorder="1" applyAlignment="1">
      <alignment horizontal="right" vertical="top" wrapText="1"/>
    </xf>
    <xf numFmtId="0" fontId="28" fillId="4" borderId="49" xfId="0" applyFont="1" applyFill="1" applyBorder="1" applyAlignment="1">
      <alignment horizontal="left"/>
    </xf>
    <xf numFmtId="0" fontId="28" fillId="4" borderId="50" xfId="0" applyFont="1" applyFill="1" applyBorder="1" applyAlignment="1">
      <alignment horizontal="left"/>
    </xf>
    <xf numFmtId="0" fontId="28" fillId="4" borderId="36" xfId="0" applyFont="1" applyFill="1" applyBorder="1" applyAlignment="1">
      <alignment horizontal="left"/>
    </xf>
    <xf numFmtId="0" fontId="28" fillId="4" borderId="15" xfId="0" applyFont="1" applyFill="1" applyBorder="1" applyAlignment="1">
      <alignment horizontal="left" vertical="top" wrapText="1"/>
    </xf>
    <xf numFmtId="0" fontId="28" fillId="4" borderId="29" xfId="0" applyFont="1" applyFill="1" applyBorder="1" applyAlignment="1">
      <alignment horizontal="left" vertical="top" wrapText="1"/>
    </xf>
    <xf numFmtId="0" fontId="28" fillId="4" borderId="16" xfId="0" applyFont="1" applyFill="1" applyBorder="1" applyAlignment="1">
      <alignment horizontal="left" vertical="top" wrapText="1"/>
    </xf>
    <xf numFmtId="0" fontId="26" fillId="4" borderId="15" xfId="0" applyFont="1" applyFill="1" applyBorder="1" applyAlignment="1">
      <alignment horizontal="center" vertical="center" textRotation="255"/>
    </xf>
    <xf numFmtId="0" fontId="26" fillId="4" borderId="41" xfId="0" applyFont="1" applyFill="1" applyBorder="1" applyAlignment="1">
      <alignment horizontal="center" vertical="center" textRotation="255"/>
    </xf>
    <xf numFmtId="0" fontId="26" fillId="4" borderId="42" xfId="0" applyFont="1" applyFill="1" applyBorder="1" applyAlignment="1">
      <alignment horizontal="center" vertical="center" textRotation="255"/>
    </xf>
    <xf numFmtId="0" fontId="26" fillId="4" borderId="38" xfId="0" applyFont="1" applyFill="1" applyBorder="1" applyAlignment="1">
      <alignment horizontal="center" vertical="center" textRotation="255" wrapText="1"/>
    </xf>
    <xf numFmtId="0" fontId="26" fillId="4" borderId="39" xfId="0" applyFont="1" applyFill="1" applyBorder="1" applyAlignment="1">
      <alignment horizontal="center" vertical="center" textRotation="255" wrapText="1"/>
    </xf>
    <xf numFmtId="0" fontId="26" fillId="4" borderId="44" xfId="0" applyFont="1" applyFill="1" applyBorder="1" applyAlignment="1">
      <alignment horizontal="center" vertical="center" textRotation="255" wrapText="1"/>
    </xf>
    <xf numFmtId="0" fontId="28" fillId="4" borderId="35" xfId="0" applyFont="1" applyFill="1" applyBorder="1" applyAlignment="1">
      <alignment horizontal="right" vertical="top" wrapText="1"/>
    </xf>
  </cellXfs>
  <cellStyles count="7">
    <cellStyle name="Hiperlink" xfId="6" builtinId="8"/>
    <cellStyle name="Hiperlink 2" xfId="1"/>
    <cellStyle name="Normal" xfId="0" builtinId="0"/>
    <cellStyle name="Normal 2" xfId="2"/>
    <cellStyle name="Normal 3" xfId="3"/>
    <cellStyle name="Vírgula 2" xfId="4"/>
    <cellStyle name="Vírgula 3" xfId="5"/>
  </cellStyles>
  <dxfs count="17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Obten&#231;&#227;o UPGRH'!A1"/><Relationship Id="rId2" Type="http://schemas.openxmlformats.org/officeDocument/2006/relationships/hyperlink" Target="#'Calculadora Geogr&#225;fica'!A1"/><Relationship Id="rId1" Type="http://schemas.openxmlformats.org/officeDocument/2006/relationships/hyperlink" Target="#'Formul&#225;rio Preenchido'!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Formul&#225;rio Impress&#227;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Formul&#225;rio Cadastr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Formul&#225;rio Cadastro'!A1"/></Relationships>
</file>

<file path=xl/drawings/_rels/drawing4.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hyperlink" Target="#'Formul&#225;rio Cadastro'!A1"/><Relationship Id="rId4" Type="http://schemas.openxmlformats.org/officeDocument/2006/relationships/image" Target="../media/image5.jpg"/></Relationships>
</file>

<file path=xl/drawings/_rels/drawing5.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6.jpg"/><Relationship Id="rId1" Type="http://schemas.openxmlformats.org/officeDocument/2006/relationships/hyperlink" Target="#'Formul&#225;rio Cadastro'!A1"/><Relationship Id="rId6" Type="http://schemas.openxmlformats.org/officeDocument/2006/relationships/image" Target="../media/image10.png"/><Relationship Id="rId5" Type="http://schemas.openxmlformats.org/officeDocument/2006/relationships/image" Target="../media/image9.jpg"/><Relationship Id="rId4"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xdr:from>
      <xdr:col>7</xdr:col>
      <xdr:colOff>241298</xdr:colOff>
      <xdr:row>7</xdr:row>
      <xdr:rowOff>73025</xdr:rowOff>
    </xdr:from>
    <xdr:to>
      <xdr:col>7</xdr:col>
      <xdr:colOff>2282370</xdr:colOff>
      <xdr:row>9</xdr:row>
      <xdr:rowOff>163739</xdr:rowOff>
    </xdr:to>
    <xdr:sp macro="" textlink="">
      <xdr:nvSpPr>
        <xdr:cNvPr id="2" name="Retângulo Arredondado 1">
          <a:hlinkClick xmlns:r="http://schemas.openxmlformats.org/officeDocument/2006/relationships" r:id="rId1"/>
          <a:extLst>
            <a:ext uri="{FF2B5EF4-FFF2-40B4-BE49-F238E27FC236}">
              <a16:creationId xmlns:a16="http://schemas.microsoft.com/office/drawing/2014/main" xmlns="" id="{00000000-0008-0000-0000-000002000000}"/>
            </a:ext>
          </a:extLst>
        </xdr:cNvPr>
        <xdr:cNvSpPr/>
      </xdr:nvSpPr>
      <xdr:spPr>
        <a:xfrm>
          <a:off x="6156323" y="273050"/>
          <a:ext cx="2041072" cy="557439"/>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twoCellAnchor>
    <xdr:from>
      <xdr:col>6</xdr:col>
      <xdr:colOff>549274</xdr:colOff>
      <xdr:row>3</xdr:row>
      <xdr:rowOff>38100</xdr:rowOff>
    </xdr:from>
    <xdr:to>
      <xdr:col>7</xdr:col>
      <xdr:colOff>777875</xdr:colOff>
      <xdr:row>4</xdr:row>
      <xdr:rowOff>47625</xdr:rowOff>
    </xdr:to>
    <xdr:sp macro="" textlink="">
      <xdr:nvSpPr>
        <xdr:cNvPr id="4" name="Retângulo Arredondado 3">
          <a:extLst>
            <a:ext uri="{FF2B5EF4-FFF2-40B4-BE49-F238E27FC236}">
              <a16:creationId xmlns:a16="http://schemas.microsoft.com/office/drawing/2014/main" xmlns="" id="{00000000-0008-0000-0000-000004000000}"/>
            </a:ext>
          </a:extLst>
        </xdr:cNvPr>
        <xdr:cNvSpPr/>
      </xdr:nvSpPr>
      <xdr:spPr>
        <a:xfrm>
          <a:off x="5197474" y="1117600"/>
          <a:ext cx="1079501" cy="327025"/>
        </a:xfrm>
        <a:prstGeom prst="round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tx1"/>
              </a:solidFill>
            </a:rPr>
            <a:t>AZUL</a:t>
          </a:r>
          <a:r>
            <a:rPr lang="pt-BR" sz="1200" b="1" baseline="0">
              <a:solidFill>
                <a:schemeClr val="tx1"/>
              </a:solidFill>
            </a:rPr>
            <a:t> CLARO</a:t>
          </a:r>
          <a:endParaRPr lang="pt-BR" sz="1200" b="1">
            <a:solidFill>
              <a:schemeClr val="tx1"/>
            </a:solidFill>
          </a:endParaRPr>
        </a:p>
      </xdr:txBody>
    </xdr:sp>
    <xdr:clientData/>
  </xdr:twoCellAnchor>
  <xdr:twoCellAnchor>
    <xdr:from>
      <xdr:col>1</xdr:col>
      <xdr:colOff>438150</xdr:colOff>
      <xdr:row>2</xdr:row>
      <xdr:rowOff>95250</xdr:rowOff>
    </xdr:from>
    <xdr:to>
      <xdr:col>1</xdr:col>
      <xdr:colOff>523875</xdr:colOff>
      <xdr:row>2</xdr:row>
      <xdr:rowOff>180975</xdr:rowOff>
    </xdr:to>
    <xdr:sp macro="" textlink="">
      <xdr:nvSpPr>
        <xdr:cNvPr id="6" name="Fluxograma: Conector 5">
          <a:extLst>
            <a:ext uri="{FF2B5EF4-FFF2-40B4-BE49-F238E27FC236}">
              <a16:creationId xmlns:a16="http://schemas.microsoft.com/office/drawing/2014/main" xmlns="" id="{00000000-0008-0000-0000-000006000000}"/>
            </a:ext>
          </a:extLst>
        </xdr:cNvPr>
        <xdr:cNvSpPr/>
      </xdr:nvSpPr>
      <xdr:spPr>
        <a:xfrm>
          <a:off x="990600" y="619125"/>
          <a:ext cx="85725" cy="85725"/>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409575</xdr:colOff>
      <xdr:row>3</xdr:row>
      <xdr:rowOff>161925</xdr:rowOff>
    </xdr:from>
    <xdr:to>
      <xdr:col>1</xdr:col>
      <xdr:colOff>495300</xdr:colOff>
      <xdr:row>3</xdr:row>
      <xdr:rowOff>247650</xdr:rowOff>
    </xdr:to>
    <xdr:sp macro="" textlink="">
      <xdr:nvSpPr>
        <xdr:cNvPr id="7" name="Fluxograma: Conector 6">
          <a:extLst>
            <a:ext uri="{FF2B5EF4-FFF2-40B4-BE49-F238E27FC236}">
              <a16:creationId xmlns:a16="http://schemas.microsoft.com/office/drawing/2014/main" xmlns="" id="{00000000-0008-0000-0000-000007000000}"/>
            </a:ext>
          </a:extLst>
        </xdr:cNvPr>
        <xdr:cNvSpPr/>
      </xdr:nvSpPr>
      <xdr:spPr>
        <a:xfrm>
          <a:off x="962025" y="1228725"/>
          <a:ext cx="85725" cy="85725"/>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409575</xdr:colOff>
      <xdr:row>4</xdr:row>
      <xdr:rowOff>152400</xdr:rowOff>
    </xdr:from>
    <xdr:to>
      <xdr:col>1</xdr:col>
      <xdr:colOff>495300</xdr:colOff>
      <xdr:row>4</xdr:row>
      <xdr:rowOff>238125</xdr:rowOff>
    </xdr:to>
    <xdr:sp macro="" textlink="">
      <xdr:nvSpPr>
        <xdr:cNvPr id="8" name="Fluxograma: Conector 7">
          <a:extLst>
            <a:ext uri="{FF2B5EF4-FFF2-40B4-BE49-F238E27FC236}">
              <a16:creationId xmlns:a16="http://schemas.microsoft.com/office/drawing/2014/main" xmlns="" id="{00000000-0008-0000-0000-000008000000}"/>
            </a:ext>
          </a:extLst>
        </xdr:cNvPr>
        <xdr:cNvSpPr/>
      </xdr:nvSpPr>
      <xdr:spPr>
        <a:xfrm>
          <a:off x="962025" y="1533525"/>
          <a:ext cx="85725" cy="85725"/>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400050</xdr:colOff>
      <xdr:row>5</xdr:row>
      <xdr:rowOff>123825</xdr:rowOff>
    </xdr:from>
    <xdr:to>
      <xdr:col>1</xdr:col>
      <xdr:colOff>485775</xdr:colOff>
      <xdr:row>5</xdr:row>
      <xdr:rowOff>209550</xdr:rowOff>
    </xdr:to>
    <xdr:sp macro="" textlink="">
      <xdr:nvSpPr>
        <xdr:cNvPr id="9" name="Fluxograma: Conector 8">
          <a:extLst>
            <a:ext uri="{FF2B5EF4-FFF2-40B4-BE49-F238E27FC236}">
              <a16:creationId xmlns:a16="http://schemas.microsoft.com/office/drawing/2014/main" xmlns="" id="{00000000-0008-0000-0000-000009000000}"/>
            </a:ext>
          </a:extLst>
        </xdr:cNvPr>
        <xdr:cNvSpPr/>
      </xdr:nvSpPr>
      <xdr:spPr>
        <a:xfrm>
          <a:off x="952500" y="1895475"/>
          <a:ext cx="85725" cy="85725"/>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457200</xdr:colOff>
      <xdr:row>8</xdr:row>
      <xdr:rowOff>95250</xdr:rowOff>
    </xdr:from>
    <xdr:to>
      <xdr:col>1</xdr:col>
      <xdr:colOff>542925</xdr:colOff>
      <xdr:row>8</xdr:row>
      <xdr:rowOff>180975</xdr:rowOff>
    </xdr:to>
    <xdr:sp macro="" textlink="">
      <xdr:nvSpPr>
        <xdr:cNvPr id="10" name="Fluxograma: Conector 9">
          <a:extLst>
            <a:ext uri="{FF2B5EF4-FFF2-40B4-BE49-F238E27FC236}">
              <a16:creationId xmlns:a16="http://schemas.microsoft.com/office/drawing/2014/main" xmlns="" id="{00000000-0008-0000-0000-00000A000000}"/>
            </a:ext>
          </a:extLst>
        </xdr:cNvPr>
        <xdr:cNvSpPr/>
      </xdr:nvSpPr>
      <xdr:spPr>
        <a:xfrm>
          <a:off x="1009650" y="3343275"/>
          <a:ext cx="85725" cy="85725"/>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2168525</xdr:colOff>
      <xdr:row>46</xdr:row>
      <xdr:rowOff>317500</xdr:rowOff>
    </xdr:from>
    <xdr:to>
      <xdr:col>11</xdr:col>
      <xdr:colOff>3397250</xdr:colOff>
      <xdr:row>46</xdr:row>
      <xdr:rowOff>612775</xdr:rowOff>
    </xdr:to>
    <xdr:sp macro="" textlink="">
      <xdr:nvSpPr>
        <xdr:cNvPr id="12" name="Retângulo Arredondado 11">
          <a:hlinkClick xmlns:r="http://schemas.openxmlformats.org/officeDocument/2006/relationships" r:id="rId2"/>
          <a:extLst>
            <a:ext uri="{FF2B5EF4-FFF2-40B4-BE49-F238E27FC236}">
              <a16:creationId xmlns:a16="http://schemas.microsoft.com/office/drawing/2014/main" xmlns="" id="{00000000-0008-0000-0000-00000C000000}"/>
            </a:ext>
          </a:extLst>
        </xdr:cNvPr>
        <xdr:cNvSpPr/>
      </xdr:nvSpPr>
      <xdr:spPr>
        <a:xfrm>
          <a:off x="16227425" y="12801600"/>
          <a:ext cx="1228725" cy="295275"/>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solidFill>
                <a:schemeClr val="tx1"/>
              </a:solidFill>
            </a:rPr>
            <a:t>CLIQUE AQUI</a:t>
          </a:r>
        </a:p>
      </xdr:txBody>
    </xdr:sp>
    <xdr:clientData/>
  </xdr:twoCellAnchor>
  <xdr:twoCellAnchor>
    <xdr:from>
      <xdr:col>10</xdr:col>
      <xdr:colOff>3584575</xdr:colOff>
      <xdr:row>47</xdr:row>
      <xdr:rowOff>387350</xdr:rowOff>
    </xdr:from>
    <xdr:to>
      <xdr:col>11</xdr:col>
      <xdr:colOff>139700</xdr:colOff>
      <xdr:row>47</xdr:row>
      <xdr:rowOff>682625</xdr:rowOff>
    </xdr:to>
    <xdr:sp macro="" textlink="">
      <xdr:nvSpPr>
        <xdr:cNvPr id="13" name="Retângulo Arredondado 12">
          <a:hlinkClick xmlns:r="http://schemas.openxmlformats.org/officeDocument/2006/relationships" r:id="rId3"/>
          <a:extLst>
            <a:ext uri="{FF2B5EF4-FFF2-40B4-BE49-F238E27FC236}">
              <a16:creationId xmlns:a16="http://schemas.microsoft.com/office/drawing/2014/main" xmlns="" id="{00000000-0008-0000-0000-00000D000000}"/>
            </a:ext>
          </a:extLst>
        </xdr:cNvPr>
        <xdr:cNvSpPr/>
      </xdr:nvSpPr>
      <xdr:spPr>
        <a:xfrm>
          <a:off x="12969875" y="13544550"/>
          <a:ext cx="1228725" cy="295275"/>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solidFill>
                <a:schemeClr val="tx1"/>
              </a:solidFill>
            </a:rPr>
            <a:t>CLIQUE AQUI</a:t>
          </a:r>
        </a:p>
      </xdr:txBody>
    </xdr:sp>
    <xdr:clientData/>
  </xdr:twoCellAnchor>
  <xdr:twoCellAnchor>
    <xdr:from>
      <xdr:col>4</xdr:col>
      <xdr:colOff>1114425</xdr:colOff>
      <xdr:row>131</xdr:row>
      <xdr:rowOff>190500</xdr:rowOff>
    </xdr:from>
    <xdr:to>
      <xdr:col>7</xdr:col>
      <xdr:colOff>393247</xdr:colOff>
      <xdr:row>135</xdr:row>
      <xdr:rowOff>11339</xdr:rowOff>
    </xdr:to>
    <xdr:sp macro="" textlink="">
      <xdr:nvSpPr>
        <xdr:cNvPr id="15" name="Retângulo Arredondado 1">
          <a:hlinkClick xmlns:r="http://schemas.openxmlformats.org/officeDocument/2006/relationships" r:id="rId4"/>
          <a:extLst>
            <a:ext uri="{FF2B5EF4-FFF2-40B4-BE49-F238E27FC236}">
              <a16:creationId xmlns:a16="http://schemas.microsoft.com/office/drawing/2014/main" xmlns="" id="{00000000-0008-0000-0000-00000F000000}"/>
            </a:ext>
          </a:extLst>
        </xdr:cNvPr>
        <xdr:cNvSpPr/>
      </xdr:nvSpPr>
      <xdr:spPr>
        <a:xfrm>
          <a:off x="3603625" y="59563000"/>
          <a:ext cx="2288722" cy="633639"/>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twoCellAnchor editAs="oneCell">
    <xdr:from>
      <xdr:col>2</xdr:col>
      <xdr:colOff>133349</xdr:colOff>
      <xdr:row>13</xdr:row>
      <xdr:rowOff>44954</xdr:rowOff>
    </xdr:from>
    <xdr:to>
      <xdr:col>2</xdr:col>
      <xdr:colOff>939778</xdr:colOff>
      <xdr:row>16</xdr:row>
      <xdr:rowOff>215141</xdr:rowOff>
    </xdr:to>
    <xdr:pic>
      <xdr:nvPicPr>
        <xdr:cNvPr id="3" name="Image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95399" y="4369304"/>
          <a:ext cx="806429" cy="770262"/>
        </a:xfrm>
        <a:prstGeom prst="rect">
          <a:avLst/>
        </a:prstGeom>
      </xdr:spPr>
    </xdr:pic>
    <xdr:clientData/>
  </xdr:twoCellAnchor>
  <xdr:twoCellAnchor editAs="oneCell">
    <xdr:from>
      <xdr:col>2</xdr:col>
      <xdr:colOff>57150</xdr:colOff>
      <xdr:row>135</xdr:row>
      <xdr:rowOff>76200</xdr:rowOff>
    </xdr:from>
    <xdr:to>
      <xdr:col>2</xdr:col>
      <xdr:colOff>1285875</xdr:colOff>
      <xdr:row>149</xdr:row>
      <xdr:rowOff>47625</xdr:rowOff>
    </xdr:to>
    <xdr:pic>
      <xdr:nvPicPr>
        <xdr:cNvPr id="16" name="Imagem 15">
          <a:extLst>
            <a:ext uri="{FF2B5EF4-FFF2-40B4-BE49-F238E27FC236}">
              <a16:creationId xmlns:a16="http://schemas.microsoft.com/office/drawing/2014/main" xmlns="" id="{00000000-0008-0000-0000-000010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19200" y="61264800"/>
          <a:ext cx="1228725" cy="638175"/>
        </a:xfrm>
        <a:prstGeom prst="rect">
          <a:avLst/>
        </a:prstGeom>
      </xdr:spPr>
    </xdr:pic>
    <xdr:clientData/>
  </xdr:twoCellAnchor>
  <xdr:twoCellAnchor>
    <xdr:from>
      <xdr:col>11</xdr:col>
      <xdr:colOff>4400550</xdr:colOff>
      <xdr:row>45</xdr:row>
      <xdr:rowOff>409575</xdr:rowOff>
    </xdr:from>
    <xdr:to>
      <xdr:col>11</xdr:col>
      <xdr:colOff>5610225</xdr:colOff>
      <xdr:row>45</xdr:row>
      <xdr:rowOff>685800</xdr:rowOff>
    </xdr:to>
    <xdr:sp macro="" textlink="">
      <xdr:nvSpPr>
        <xdr:cNvPr id="18" name="Retângulo Arredondado 17">
          <a:extLst>
            <a:ext uri="{FF2B5EF4-FFF2-40B4-BE49-F238E27FC236}">
              <a16:creationId xmlns:a16="http://schemas.microsoft.com/office/drawing/2014/main" xmlns="" id="{00000000-0008-0000-0000-000012000000}"/>
            </a:ext>
          </a:extLst>
        </xdr:cNvPr>
        <xdr:cNvSpPr/>
      </xdr:nvSpPr>
      <xdr:spPr>
        <a:xfrm>
          <a:off x="21015325" y="12245975"/>
          <a:ext cx="0" cy="238125"/>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solidFill>
            </a:rPr>
            <a:t>CLIQUE</a:t>
          </a:r>
          <a:r>
            <a:rPr lang="pt-BR" sz="1100" b="1" baseline="0">
              <a:solidFill>
                <a:schemeClr val="tx1"/>
              </a:solidFill>
            </a:rPr>
            <a:t> AQUI</a:t>
          </a:r>
          <a:endParaRPr lang="pt-BR" sz="11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1743072</xdr:colOff>
      <xdr:row>1</xdr:row>
      <xdr:rowOff>104775</xdr:rowOff>
    </xdr:from>
    <xdr:to>
      <xdr:col>7</xdr:col>
      <xdr:colOff>882650</xdr:colOff>
      <xdr:row>3</xdr:row>
      <xdr:rowOff>195489</xdr:rowOff>
    </xdr:to>
    <xdr:sp macro="" textlink="">
      <xdr:nvSpPr>
        <xdr:cNvPr id="3" name="Retângulo Arredondado 1">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6391272" y="307975"/>
          <a:ext cx="1793878" cy="560614"/>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twoCellAnchor editAs="oneCell">
    <xdr:from>
      <xdr:col>0</xdr:col>
      <xdr:colOff>133350</xdr:colOff>
      <xdr:row>7</xdr:row>
      <xdr:rowOff>44955</xdr:rowOff>
    </xdr:from>
    <xdr:to>
      <xdr:col>0</xdr:col>
      <xdr:colOff>866776</xdr:colOff>
      <xdr:row>10</xdr:row>
      <xdr:rowOff>141376</xdr:rowOff>
    </xdr:to>
    <xdr:pic>
      <xdr:nvPicPr>
        <xdr:cNvPr id="4" name="Imagem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1559430"/>
          <a:ext cx="733426" cy="709196"/>
        </a:xfrm>
        <a:prstGeom prst="rect">
          <a:avLst/>
        </a:prstGeom>
      </xdr:spPr>
    </xdr:pic>
    <xdr:clientData/>
  </xdr:twoCellAnchor>
  <xdr:oneCellAnchor>
    <xdr:from>
      <xdr:col>7</xdr:col>
      <xdr:colOff>133350</xdr:colOff>
      <xdr:row>7</xdr:row>
      <xdr:rowOff>44954</xdr:rowOff>
    </xdr:from>
    <xdr:ext cx="731694" cy="707521"/>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9975" y="1559429"/>
          <a:ext cx="731694" cy="7075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9</xdr:col>
      <xdr:colOff>323850</xdr:colOff>
      <xdr:row>4</xdr:row>
      <xdr:rowOff>28575</xdr:rowOff>
    </xdr:from>
    <xdr:to>
      <xdr:col>12</xdr:col>
      <xdr:colOff>282578</xdr:colOff>
      <xdr:row>6</xdr:row>
      <xdr:rowOff>142875</xdr:rowOff>
    </xdr:to>
    <xdr:sp macro="" textlink="">
      <xdr:nvSpPr>
        <xdr:cNvPr id="2" name="Retângulo Arredondado 1">
          <a:hlinkClick xmlns:r="http://schemas.openxmlformats.org/officeDocument/2006/relationships" r:id="rId1"/>
          <a:extLst>
            <a:ext uri="{FF2B5EF4-FFF2-40B4-BE49-F238E27FC236}">
              <a16:creationId xmlns:a16="http://schemas.microsoft.com/office/drawing/2014/main" xmlns="" id="{00000000-0008-0000-0200-000002000000}"/>
            </a:ext>
          </a:extLst>
        </xdr:cNvPr>
        <xdr:cNvSpPr/>
      </xdr:nvSpPr>
      <xdr:spPr>
        <a:xfrm>
          <a:off x="9239250" y="1466850"/>
          <a:ext cx="1787528" cy="657225"/>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oneCellAnchor>
    <xdr:from>
      <xdr:col>0</xdr:col>
      <xdr:colOff>133349</xdr:colOff>
      <xdr:row>1</xdr:row>
      <xdr:rowOff>44954</xdr:rowOff>
    </xdr:from>
    <xdr:ext cx="806429" cy="770262"/>
    <xdr:pic>
      <xdr:nvPicPr>
        <xdr:cNvPr id="4" name="Imagem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05849" y="4369304"/>
          <a:ext cx="806429" cy="77026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11</xdr:col>
      <xdr:colOff>476250</xdr:colOff>
      <xdr:row>1</xdr:row>
      <xdr:rowOff>85725</xdr:rowOff>
    </xdr:from>
    <xdr:to>
      <xdr:col>14</xdr:col>
      <xdr:colOff>434978</xdr:colOff>
      <xdr:row>3</xdr:row>
      <xdr:rowOff>185964</xdr:rowOff>
    </xdr:to>
    <xdr:sp macro="" textlink="">
      <xdr:nvSpPr>
        <xdr:cNvPr id="4" name="Retângulo Arredondado 3">
          <a:hlinkClick xmlns:r="http://schemas.openxmlformats.org/officeDocument/2006/relationships" r:id="rId1"/>
          <a:extLst>
            <a:ext uri="{FF2B5EF4-FFF2-40B4-BE49-F238E27FC236}">
              <a16:creationId xmlns:a16="http://schemas.microsoft.com/office/drawing/2014/main" xmlns="" id="{00000000-0008-0000-0300-000004000000}"/>
            </a:ext>
          </a:extLst>
        </xdr:cNvPr>
        <xdr:cNvSpPr/>
      </xdr:nvSpPr>
      <xdr:spPr>
        <a:xfrm>
          <a:off x="7181850" y="276225"/>
          <a:ext cx="1787528" cy="557439"/>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twoCellAnchor>
    <xdr:from>
      <xdr:col>2</xdr:col>
      <xdr:colOff>514350</xdr:colOff>
      <xdr:row>14</xdr:row>
      <xdr:rowOff>28575</xdr:rowOff>
    </xdr:from>
    <xdr:to>
      <xdr:col>24</xdr:col>
      <xdr:colOff>171450</xdr:colOff>
      <xdr:row>44</xdr:row>
      <xdr:rowOff>66675</xdr:rowOff>
    </xdr:to>
    <xdr:grpSp>
      <xdr:nvGrpSpPr>
        <xdr:cNvPr id="27" name="Agrupar 26">
          <a:extLst>
            <a:ext uri="{FF2B5EF4-FFF2-40B4-BE49-F238E27FC236}">
              <a16:creationId xmlns:a16="http://schemas.microsoft.com/office/drawing/2014/main" xmlns="" id="{00000000-0008-0000-0300-00001B000000}"/>
            </a:ext>
          </a:extLst>
        </xdr:cNvPr>
        <xdr:cNvGrpSpPr/>
      </xdr:nvGrpSpPr>
      <xdr:grpSpPr>
        <a:xfrm>
          <a:off x="1733550" y="3114675"/>
          <a:ext cx="14097000" cy="6858000"/>
          <a:chOff x="1743075" y="2495550"/>
          <a:chExt cx="13068300" cy="6286500"/>
        </a:xfrm>
      </xdr:grpSpPr>
      <xdr:pic>
        <xdr:nvPicPr>
          <xdr:cNvPr id="2" name="Imagem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43075" y="2952750"/>
            <a:ext cx="2600325" cy="5829300"/>
          </a:xfrm>
          <a:prstGeom prst="rect">
            <a:avLst/>
          </a:prstGeom>
        </xdr:spPr>
      </xdr:pic>
      <xdr:sp macro="" textlink="">
        <xdr:nvSpPr>
          <xdr:cNvPr id="6" name="Retângulo Arredondado 5">
            <a:extLst>
              <a:ext uri="{FF2B5EF4-FFF2-40B4-BE49-F238E27FC236}">
                <a16:creationId xmlns:a16="http://schemas.microsoft.com/office/drawing/2014/main" xmlns="" id="{00000000-0008-0000-0300-000006000000}"/>
              </a:ext>
            </a:extLst>
          </xdr:cNvPr>
          <xdr:cNvSpPr/>
        </xdr:nvSpPr>
        <xdr:spPr>
          <a:xfrm>
            <a:off x="1924050" y="3505200"/>
            <a:ext cx="2286000" cy="7429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xnSp macro="">
        <xdr:nvCxnSpPr>
          <xdr:cNvPr id="8" name="Conector reto 7">
            <a:extLst>
              <a:ext uri="{FF2B5EF4-FFF2-40B4-BE49-F238E27FC236}">
                <a16:creationId xmlns:a16="http://schemas.microsoft.com/office/drawing/2014/main" xmlns="" id="{00000000-0008-0000-0300-000008000000}"/>
              </a:ext>
            </a:extLst>
          </xdr:cNvPr>
          <xdr:cNvCxnSpPr/>
        </xdr:nvCxnSpPr>
        <xdr:spPr>
          <a:xfrm flipV="1">
            <a:off x="4191000" y="2828925"/>
            <a:ext cx="666750" cy="714375"/>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Conector de Seta Reta 9">
            <a:extLst>
              <a:ext uri="{FF2B5EF4-FFF2-40B4-BE49-F238E27FC236}">
                <a16:creationId xmlns:a16="http://schemas.microsoft.com/office/drawing/2014/main" xmlns="" id="{00000000-0008-0000-0300-00000A000000}"/>
              </a:ext>
            </a:extLst>
          </xdr:cNvPr>
          <xdr:cNvCxnSpPr/>
        </xdr:nvCxnSpPr>
        <xdr:spPr>
          <a:xfrm flipH="1">
            <a:off x="3493105" y="4728735"/>
            <a:ext cx="1295400" cy="1"/>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pic>
        <xdr:nvPicPr>
          <xdr:cNvPr id="12" name="Imagem 11">
            <a:extLst>
              <a:ext uri="{FF2B5EF4-FFF2-40B4-BE49-F238E27FC236}">
                <a16:creationId xmlns:a16="http://schemas.microsoft.com/office/drawing/2014/main" xmlns="" id="{00000000-0008-0000-03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10700" y="2562225"/>
            <a:ext cx="2085975" cy="1143000"/>
          </a:xfrm>
          <a:prstGeom prst="rect">
            <a:avLst/>
          </a:prstGeom>
        </xdr:spPr>
      </xdr:pic>
      <xdr:pic>
        <xdr:nvPicPr>
          <xdr:cNvPr id="13" name="Imagem 12">
            <a:extLst>
              <a:ext uri="{FF2B5EF4-FFF2-40B4-BE49-F238E27FC236}">
                <a16:creationId xmlns:a16="http://schemas.microsoft.com/office/drawing/2014/main" xmlns="" id="{00000000-0008-0000-03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458700" y="2495550"/>
            <a:ext cx="2352675" cy="3467100"/>
          </a:xfrm>
          <a:prstGeom prst="rect">
            <a:avLst/>
          </a:prstGeom>
        </xdr:spPr>
      </xdr:pic>
      <xdr:cxnSp macro="">
        <xdr:nvCxnSpPr>
          <xdr:cNvPr id="17" name="Conector de Seta Reta 16">
            <a:extLst>
              <a:ext uri="{FF2B5EF4-FFF2-40B4-BE49-F238E27FC236}">
                <a16:creationId xmlns:a16="http://schemas.microsoft.com/office/drawing/2014/main" xmlns="" id="{00000000-0008-0000-0300-000011000000}"/>
              </a:ext>
            </a:extLst>
          </xdr:cNvPr>
          <xdr:cNvCxnSpPr/>
        </xdr:nvCxnSpPr>
        <xdr:spPr>
          <a:xfrm flipH="1" flipV="1">
            <a:off x="10401300" y="3562350"/>
            <a:ext cx="9525" cy="5905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8" name="Retângulo Arredondado 17">
            <a:extLst>
              <a:ext uri="{FF2B5EF4-FFF2-40B4-BE49-F238E27FC236}">
                <a16:creationId xmlns:a16="http://schemas.microsoft.com/office/drawing/2014/main" xmlns="" id="{00000000-0008-0000-0300-000012000000}"/>
              </a:ext>
            </a:extLst>
          </xdr:cNvPr>
          <xdr:cNvSpPr/>
        </xdr:nvSpPr>
        <xdr:spPr>
          <a:xfrm>
            <a:off x="12487275" y="3886200"/>
            <a:ext cx="2190750" cy="2857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9" name="Retângulo Arredondado 18">
            <a:extLst>
              <a:ext uri="{FF2B5EF4-FFF2-40B4-BE49-F238E27FC236}">
                <a16:creationId xmlns:a16="http://schemas.microsoft.com/office/drawing/2014/main" xmlns="" id="{00000000-0008-0000-0300-000013000000}"/>
              </a:ext>
            </a:extLst>
          </xdr:cNvPr>
          <xdr:cNvSpPr/>
        </xdr:nvSpPr>
        <xdr:spPr>
          <a:xfrm>
            <a:off x="12487275" y="5010150"/>
            <a:ext cx="2190750" cy="2190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xnSp macro="">
        <xdr:nvCxnSpPr>
          <xdr:cNvPr id="21" name="Conector de Seta Reta 20">
            <a:extLst>
              <a:ext uri="{FF2B5EF4-FFF2-40B4-BE49-F238E27FC236}">
                <a16:creationId xmlns:a16="http://schemas.microsoft.com/office/drawing/2014/main" xmlns="" id="{00000000-0008-0000-0300-000015000000}"/>
              </a:ext>
            </a:extLst>
          </xdr:cNvPr>
          <xdr:cNvCxnSpPr/>
        </xdr:nvCxnSpPr>
        <xdr:spPr>
          <a:xfrm flipV="1">
            <a:off x="11888667" y="4143376"/>
            <a:ext cx="570033" cy="100647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19</xdr:col>
      <xdr:colOff>76200</xdr:colOff>
      <xdr:row>27</xdr:row>
      <xdr:rowOff>119496</xdr:rowOff>
    </xdr:from>
    <xdr:to>
      <xdr:col>20</xdr:col>
      <xdr:colOff>102803</xdr:colOff>
      <xdr:row>27</xdr:row>
      <xdr:rowOff>161925</xdr:rowOff>
    </xdr:to>
    <xdr:cxnSp macro="">
      <xdr:nvCxnSpPr>
        <xdr:cNvPr id="23" name="Conector de Seta Reta 22">
          <a:extLst>
            <a:ext uri="{FF2B5EF4-FFF2-40B4-BE49-F238E27FC236}">
              <a16:creationId xmlns:a16="http://schemas.microsoft.com/office/drawing/2014/main" xmlns="" id="{00000000-0008-0000-0300-000017000000}"/>
            </a:ext>
          </a:extLst>
        </xdr:cNvPr>
        <xdr:cNvCxnSpPr>
          <a:endCxn id="19" idx="1"/>
        </xdr:cNvCxnSpPr>
      </xdr:nvCxnSpPr>
      <xdr:spPr>
        <a:xfrm flipV="1">
          <a:off x="12687300" y="5977371"/>
          <a:ext cx="636203" cy="42429"/>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307975</xdr:colOff>
      <xdr:row>2</xdr:row>
      <xdr:rowOff>76200</xdr:rowOff>
    </xdr:from>
    <xdr:to>
      <xdr:col>16</xdr:col>
      <xdr:colOff>266703</xdr:colOff>
      <xdr:row>4</xdr:row>
      <xdr:rowOff>176439</xdr:rowOff>
    </xdr:to>
    <xdr:sp macro="" textlink="">
      <xdr:nvSpPr>
        <xdr:cNvPr id="2" name="Retângulo Arredondado 1">
          <a:hlinkClick xmlns:r="http://schemas.openxmlformats.org/officeDocument/2006/relationships" r:id="rId1"/>
          <a:extLst>
            <a:ext uri="{FF2B5EF4-FFF2-40B4-BE49-F238E27FC236}">
              <a16:creationId xmlns:a16="http://schemas.microsoft.com/office/drawing/2014/main" xmlns="" id="{00000000-0008-0000-0400-000002000000}"/>
            </a:ext>
          </a:extLst>
        </xdr:cNvPr>
        <xdr:cNvSpPr/>
      </xdr:nvSpPr>
      <xdr:spPr>
        <a:xfrm>
          <a:off x="8232775" y="457200"/>
          <a:ext cx="1787528" cy="557439"/>
        </a:xfrm>
        <a:prstGeom prst="round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600" b="1">
              <a:solidFill>
                <a:sysClr val="windowText" lastClr="000000"/>
              </a:solidFill>
            </a:rPr>
            <a:t>     CLIQUE</a:t>
          </a:r>
          <a:r>
            <a:rPr lang="pt-BR" sz="1600" b="1" baseline="0">
              <a:solidFill>
                <a:sysClr val="windowText" lastClr="000000"/>
              </a:solidFill>
            </a:rPr>
            <a:t> AQUI</a:t>
          </a:r>
          <a:endParaRPr lang="pt-BR" sz="1600" b="1">
            <a:solidFill>
              <a:sysClr val="windowText" lastClr="000000"/>
            </a:solidFill>
          </a:endParaRPr>
        </a:p>
      </xdr:txBody>
    </xdr:sp>
    <xdr:clientData/>
  </xdr:twoCellAnchor>
  <xdr:twoCellAnchor editAs="oneCell">
    <xdr:from>
      <xdr:col>4</xdr:col>
      <xdr:colOff>38100</xdr:colOff>
      <xdr:row>11</xdr:row>
      <xdr:rowOff>180975</xdr:rowOff>
    </xdr:from>
    <xdr:to>
      <xdr:col>23</xdr:col>
      <xdr:colOff>14226</xdr:colOff>
      <xdr:row>43</xdr:row>
      <xdr:rowOff>28575</xdr:rowOff>
    </xdr:to>
    <xdr:pic>
      <xdr:nvPicPr>
        <xdr:cNvPr id="3" name="Imagem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0" y="2381250"/>
          <a:ext cx="11698226" cy="5943600"/>
        </a:xfrm>
        <a:prstGeom prst="rect">
          <a:avLst/>
        </a:prstGeom>
      </xdr:spPr>
    </xdr:pic>
    <xdr:clientData/>
  </xdr:twoCellAnchor>
  <xdr:twoCellAnchor>
    <xdr:from>
      <xdr:col>2</xdr:col>
      <xdr:colOff>390525</xdr:colOff>
      <xdr:row>26</xdr:row>
      <xdr:rowOff>123825</xdr:rowOff>
    </xdr:from>
    <xdr:to>
      <xdr:col>7</xdr:col>
      <xdr:colOff>323850</xdr:colOff>
      <xdr:row>27</xdr:row>
      <xdr:rowOff>76200</xdr:rowOff>
    </xdr:to>
    <xdr:grpSp>
      <xdr:nvGrpSpPr>
        <xdr:cNvPr id="21" name="Agrupar 20">
          <a:extLst>
            <a:ext uri="{FF2B5EF4-FFF2-40B4-BE49-F238E27FC236}">
              <a16:creationId xmlns:a16="http://schemas.microsoft.com/office/drawing/2014/main" xmlns="" id="{00000000-0008-0000-0400-000015000000}"/>
            </a:ext>
          </a:extLst>
        </xdr:cNvPr>
        <xdr:cNvGrpSpPr/>
      </xdr:nvGrpSpPr>
      <xdr:grpSpPr>
        <a:xfrm>
          <a:off x="390525" y="5219700"/>
          <a:ext cx="2981325" cy="142875"/>
          <a:chOff x="952500" y="4962525"/>
          <a:chExt cx="2981325" cy="142875"/>
        </a:xfrm>
      </xdr:grpSpPr>
      <xdr:sp macro="" textlink="">
        <xdr:nvSpPr>
          <xdr:cNvPr id="4" name="Retângulo Arredondado 3">
            <a:extLst>
              <a:ext uri="{FF2B5EF4-FFF2-40B4-BE49-F238E27FC236}">
                <a16:creationId xmlns:a16="http://schemas.microsoft.com/office/drawing/2014/main" xmlns="" id="{00000000-0008-0000-0400-000004000000}"/>
              </a:ext>
            </a:extLst>
          </xdr:cNvPr>
          <xdr:cNvSpPr/>
        </xdr:nvSpPr>
        <xdr:spPr>
          <a:xfrm>
            <a:off x="1838325" y="4962525"/>
            <a:ext cx="2095500" cy="1428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xnSp macro="">
        <xdr:nvCxnSpPr>
          <xdr:cNvPr id="6" name="Conector de Seta Reta 5">
            <a:extLst>
              <a:ext uri="{FF2B5EF4-FFF2-40B4-BE49-F238E27FC236}">
                <a16:creationId xmlns:a16="http://schemas.microsoft.com/office/drawing/2014/main" xmlns="" id="{00000000-0008-0000-0400-000006000000}"/>
              </a:ext>
            </a:extLst>
          </xdr:cNvPr>
          <xdr:cNvCxnSpPr>
            <a:endCxn id="4" idx="1"/>
          </xdr:cNvCxnSpPr>
        </xdr:nvCxnSpPr>
        <xdr:spPr>
          <a:xfrm flipV="1">
            <a:off x="952500" y="5033963"/>
            <a:ext cx="885825" cy="476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352425</xdr:colOff>
      <xdr:row>49</xdr:row>
      <xdr:rowOff>136524</xdr:rowOff>
    </xdr:from>
    <xdr:to>
      <xdr:col>23</xdr:col>
      <xdr:colOff>142874</xdr:colOff>
      <xdr:row>86</xdr:row>
      <xdr:rowOff>21149</xdr:rowOff>
    </xdr:to>
    <xdr:grpSp>
      <xdr:nvGrpSpPr>
        <xdr:cNvPr id="35" name="Agrupar 34">
          <a:extLst>
            <a:ext uri="{FF2B5EF4-FFF2-40B4-BE49-F238E27FC236}">
              <a16:creationId xmlns:a16="http://schemas.microsoft.com/office/drawing/2014/main" xmlns="" id="{00000000-0008-0000-0400-000023000000}"/>
            </a:ext>
          </a:extLst>
        </xdr:cNvPr>
        <xdr:cNvGrpSpPr/>
      </xdr:nvGrpSpPr>
      <xdr:grpSpPr>
        <a:xfrm>
          <a:off x="352425" y="9804399"/>
          <a:ext cx="12734924" cy="7076000"/>
          <a:chOff x="923925" y="9146902"/>
          <a:chExt cx="12592049" cy="6933398"/>
        </a:xfrm>
      </xdr:grpSpPr>
      <xdr:pic>
        <xdr:nvPicPr>
          <xdr:cNvPr id="17" name="Imagem 16">
            <a:extLst>
              <a:ext uri="{FF2B5EF4-FFF2-40B4-BE49-F238E27FC236}">
                <a16:creationId xmlns:a16="http://schemas.microsoft.com/office/drawing/2014/main" xmlns="" id="{00000000-0008-0000-04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28799" y="10172699"/>
            <a:ext cx="11687175" cy="5907601"/>
          </a:xfrm>
          <a:prstGeom prst="rect">
            <a:avLst/>
          </a:prstGeom>
        </xdr:spPr>
      </xdr:pic>
      <xdr:grpSp>
        <xdr:nvGrpSpPr>
          <xdr:cNvPr id="34" name="Agrupar 33">
            <a:extLst>
              <a:ext uri="{FF2B5EF4-FFF2-40B4-BE49-F238E27FC236}">
                <a16:creationId xmlns:a16="http://schemas.microsoft.com/office/drawing/2014/main" xmlns="" id="{00000000-0008-0000-0400-000022000000}"/>
              </a:ext>
            </a:extLst>
          </xdr:cNvPr>
          <xdr:cNvGrpSpPr/>
        </xdr:nvGrpSpPr>
        <xdr:grpSpPr>
          <a:xfrm>
            <a:off x="923925" y="9146902"/>
            <a:ext cx="7866107" cy="4797698"/>
            <a:chOff x="923925" y="14680927"/>
            <a:chExt cx="7866107" cy="4797698"/>
          </a:xfrm>
        </xdr:grpSpPr>
        <xdr:grpSp>
          <xdr:nvGrpSpPr>
            <xdr:cNvPr id="20" name="Agrupar 19">
              <a:extLst>
                <a:ext uri="{FF2B5EF4-FFF2-40B4-BE49-F238E27FC236}">
                  <a16:creationId xmlns:a16="http://schemas.microsoft.com/office/drawing/2014/main" xmlns="" id="{00000000-0008-0000-0400-000014000000}"/>
                </a:ext>
              </a:extLst>
            </xdr:cNvPr>
            <xdr:cNvGrpSpPr/>
          </xdr:nvGrpSpPr>
          <xdr:grpSpPr>
            <a:xfrm>
              <a:off x="952500" y="19335750"/>
              <a:ext cx="2981325" cy="142875"/>
              <a:chOff x="1104900" y="5114925"/>
              <a:chExt cx="2981325" cy="142875"/>
            </a:xfrm>
          </xdr:grpSpPr>
          <xdr:sp macro="" textlink="">
            <xdr:nvSpPr>
              <xdr:cNvPr id="18" name="Retângulo Arredondado 17">
                <a:extLst>
                  <a:ext uri="{FF2B5EF4-FFF2-40B4-BE49-F238E27FC236}">
                    <a16:creationId xmlns:a16="http://schemas.microsoft.com/office/drawing/2014/main" xmlns="" id="{00000000-0008-0000-0400-000012000000}"/>
                  </a:ext>
                </a:extLst>
              </xdr:cNvPr>
              <xdr:cNvSpPr/>
            </xdr:nvSpPr>
            <xdr:spPr>
              <a:xfrm>
                <a:off x="1990725" y="5114925"/>
                <a:ext cx="2095500" cy="1428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xnSp macro="">
            <xdr:nvCxnSpPr>
              <xdr:cNvPr id="19" name="Conector de Seta Reta 18">
                <a:extLst>
                  <a:ext uri="{FF2B5EF4-FFF2-40B4-BE49-F238E27FC236}">
                    <a16:creationId xmlns:a16="http://schemas.microsoft.com/office/drawing/2014/main" xmlns="" id="{00000000-0008-0000-0400-000013000000}"/>
                  </a:ext>
                </a:extLst>
              </xdr:cNvPr>
              <xdr:cNvCxnSpPr>
                <a:endCxn id="18" idx="1"/>
              </xdr:cNvCxnSpPr>
            </xdr:nvCxnSpPr>
            <xdr:spPr>
              <a:xfrm flipV="1">
                <a:off x="1104900" y="5186363"/>
                <a:ext cx="885825" cy="476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6" name="Agrupar 15">
              <a:extLst>
                <a:ext uri="{FF2B5EF4-FFF2-40B4-BE49-F238E27FC236}">
                  <a16:creationId xmlns:a16="http://schemas.microsoft.com/office/drawing/2014/main" xmlns="" id="{00000000-0008-0000-0400-000010000000}"/>
                </a:ext>
              </a:extLst>
            </xdr:cNvPr>
            <xdr:cNvGrpSpPr/>
          </xdr:nvGrpSpPr>
          <xdr:grpSpPr>
            <a:xfrm>
              <a:off x="923925" y="17706975"/>
              <a:ext cx="3019425" cy="647700"/>
              <a:chOff x="647700" y="10868025"/>
              <a:chExt cx="3019425" cy="647700"/>
            </a:xfrm>
          </xdr:grpSpPr>
          <xdr:cxnSp macro="">
            <xdr:nvCxnSpPr>
              <xdr:cNvPr id="8" name="Conector de Seta Reta 7">
                <a:extLst>
                  <a:ext uri="{FF2B5EF4-FFF2-40B4-BE49-F238E27FC236}">
                    <a16:creationId xmlns:a16="http://schemas.microsoft.com/office/drawing/2014/main" xmlns="" id="{00000000-0008-0000-0400-000008000000}"/>
                  </a:ext>
                </a:extLst>
              </xdr:cNvPr>
              <xdr:cNvCxnSpPr/>
            </xdr:nvCxnSpPr>
            <xdr:spPr>
              <a:xfrm flipV="1">
                <a:off x="647700" y="11425238"/>
                <a:ext cx="885825" cy="476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Retângulo Arredondado 9">
                <a:extLst>
                  <a:ext uri="{FF2B5EF4-FFF2-40B4-BE49-F238E27FC236}">
                    <a16:creationId xmlns:a16="http://schemas.microsoft.com/office/drawing/2014/main" xmlns="" id="{00000000-0008-0000-0400-00000A000000}"/>
                  </a:ext>
                </a:extLst>
              </xdr:cNvPr>
              <xdr:cNvSpPr/>
            </xdr:nvSpPr>
            <xdr:spPr>
              <a:xfrm>
                <a:off x="1571625" y="11372850"/>
                <a:ext cx="2095500" cy="1428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xnSp macro="">
            <xdr:nvCxnSpPr>
              <xdr:cNvPr id="14" name="Conector de Seta Reta 13">
                <a:extLst>
                  <a:ext uri="{FF2B5EF4-FFF2-40B4-BE49-F238E27FC236}">
                    <a16:creationId xmlns:a16="http://schemas.microsoft.com/office/drawing/2014/main" xmlns="" id="{00000000-0008-0000-0400-00000E000000}"/>
                  </a:ext>
                </a:extLst>
              </xdr:cNvPr>
              <xdr:cNvCxnSpPr/>
            </xdr:nvCxnSpPr>
            <xdr:spPr>
              <a:xfrm flipV="1">
                <a:off x="666750" y="10929938"/>
                <a:ext cx="885825" cy="476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 name="Retângulo Arredondado 14">
                <a:extLst>
                  <a:ext uri="{FF2B5EF4-FFF2-40B4-BE49-F238E27FC236}">
                    <a16:creationId xmlns:a16="http://schemas.microsoft.com/office/drawing/2014/main" xmlns="" id="{00000000-0008-0000-0400-00000F000000}"/>
                  </a:ext>
                </a:extLst>
              </xdr:cNvPr>
              <xdr:cNvSpPr/>
            </xdr:nvSpPr>
            <xdr:spPr>
              <a:xfrm>
                <a:off x="1562100" y="10868025"/>
                <a:ext cx="2095500" cy="1428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grpSp>
          <xdr:nvGrpSpPr>
            <xdr:cNvPr id="33" name="Agrupar 32">
              <a:extLst>
                <a:ext uri="{FF2B5EF4-FFF2-40B4-BE49-F238E27FC236}">
                  <a16:creationId xmlns:a16="http://schemas.microsoft.com/office/drawing/2014/main" xmlns="" id="{00000000-0008-0000-0400-000021000000}"/>
                </a:ext>
              </a:extLst>
            </xdr:cNvPr>
            <xdr:cNvGrpSpPr/>
          </xdr:nvGrpSpPr>
          <xdr:grpSpPr>
            <a:xfrm>
              <a:off x="4001555" y="14680927"/>
              <a:ext cx="4788477" cy="1507852"/>
              <a:chOff x="4001555" y="14680927"/>
              <a:chExt cx="4788477" cy="1507852"/>
            </a:xfrm>
          </xdr:grpSpPr>
          <xdr:cxnSp macro="">
            <xdr:nvCxnSpPr>
              <xdr:cNvPr id="11" name="Conector de Seta Reta 10">
                <a:extLst>
                  <a:ext uri="{FF2B5EF4-FFF2-40B4-BE49-F238E27FC236}">
                    <a16:creationId xmlns:a16="http://schemas.microsoft.com/office/drawing/2014/main" xmlns="" id="{00000000-0008-0000-0400-00000B000000}"/>
                  </a:ext>
                </a:extLst>
              </xdr:cNvPr>
              <xdr:cNvCxnSpPr/>
            </xdr:nvCxnSpPr>
            <xdr:spPr>
              <a:xfrm flipH="1">
                <a:off x="8760075" y="14820735"/>
                <a:ext cx="29957" cy="136804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Conector de Seta Reta 23">
                <a:extLst>
                  <a:ext uri="{FF2B5EF4-FFF2-40B4-BE49-F238E27FC236}">
                    <a16:creationId xmlns:a16="http://schemas.microsoft.com/office/drawing/2014/main" xmlns="" id="{00000000-0008-0000-0400-000018000000}"/>
                  </a:ext>
                </a:extLst>
              </xdr:cNvPr>
              <xdr:cNvCxnSpPr/>
            </xdr:nvCxnSpPr>
            <xdr:spPr>
              <a:xfrm>
                <a:off x="5992807" y="14680927"/>
                <a:ext cx="752475" cy="9525"/>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Conector de Seta Reta 26">
                <a:extLst>
                  <a:ext uri="{FF2B5EF4-FFF2-40B4-BE49-F238E27FC236}">
                    <a16:creationId xmlns:a16="http://schemas.microsoft.com/office/drawing/2014/main" xmlns="" id="{00000000-0008-0000-0400-00001B000000}"/>
                  </a:ext>
                </a:extLst>
              </xdr:cNvPr>
              <xdr:cNvCxnSpPr/>
            </xdr:nvCxnSpPr>
            <xdr:spPr>
              <a:xfrm>
                <a:off x="4001555" y="15161346"/>
                <a:ext cx="1083085" cy="7355"/>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Conector de Seta Reta 27">
                <a:extLst>
                  <a:ext uri="{FF2B5EF4-FFF2-40B4-BE49-F238E27FC236}">
                    <a16:creationId xmlns:a16="http://schemas.microsoft.com/office/drawing/2014/main" xmlns="" id="{00000000-0008-0000-0400-00001C000000}"/>
                  </a:ext>
                </a:extLst>
              </xdr:cNvPr>
              <xdr:cNvCxnSpPr/>
            </xdr:nvCxnSpPr>
            <xdr:spPr>
              <a:xfrm flipH="1">
                <a:off x="5305427" y="15317829"/>
                <a:ext cx="30425" cy="788946"/>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3</xdr:col>
      <xdr:colOff>485775</xdr:colOff>
      <xdr:row>10</xdr:row>
      <xdr:rowOff>66675</xdr:rowOff>
    </xdr:from>
    <xdr:to>
      <xdr:col>3</xdr:col>
      <xdr:colOff>581025</xdr:colOff>
      <xdr:row>10</xdr:row>
      <xdr:rowOff>161925</xdr:rowOff>
    </xdr:to>
    <xdr:sp macro="" textlink="">
      <xdr:nvSpPr>
        <xdr:cNvPr id="36" name="Fluxograma: Conector 35">
          <a:extLst>
            <a:ext uri="{FF2B5EF4-FFF2-40B4-BE49-F238E27FC236}">
              <a16:creationId xmlns:a16="http://schemas.microsoft.com/office/drawing/2014/main" xmlns="" id="{00000000-0008-0000-0400-000024000000}"/>
            </a:ext>
          </a:extLst>
        </xdr:cNvPr>
        <xdr:cNvSpPr/>
      </xdr:nvSpPr>
      <xdr:spPr>
        <a:xfrm>
          <a:off x="2314575" y="2047875"/>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504825</xdr:colOff>
      <xdr:row>47</xdr:row>
      <xdr:rowOff>66675</xdr:rowOff>
    </xdr:from>
    <xdr:to>
      <xdr:col>3</xdr:col>
      <xdr:colOff>600075</xdr:colOff>
      <xdr:row>47</xdr:row>
      <xdr:rowOff>161925</xdr:rowOff>
    </xdr:to>
    <xdr:sp macro="" textlink="">
      <xdr:nvSpPr>
        <xdr:cNvPr id="37" name="Fluxograma: Conector 36">
          <a:extLst>
            <a:ext uri="{FF2B5EF4-FFF2-40B4-BE49-F238E27FC236}">
              <a16:creationId xmlns:a16="http://schemas.microsoft.com/office/drawing/2014/main" xmlns="" id="{00000000-0008-0000-0400-000025000000}"/>
            </a:ext>
          </a:extLst>
        </xdr:cNvPr>
        <xdr:cNvSpPr/>
      </xdr:nvSpPr>
      <xdr:spPr>
        <a:xfrm>
          <a:off x="2333625" y="9144000"/>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485775</xdr:colOff>
      <xdr:row>49</xdr:row>
      <xdr:rowOff>66675</xdr:rowOff>
    </xdr:from>
    <xdr:to>
      <xdr:col>3</xdr:col>
      <xdr:colOff>581025</xdr:colOff>
      <xdr:row>49</xdr:row>
      <xdr:rowOff>161925</xdr:rowOff>
    </xdr:to>
    <xdr:sp macro="" textlink="">
      <xdr:nvSpPr>
        <xdr:cNvPr id="38" name="Fluxograma: Conector 37">
          <a:extLst>
            <a:ext uri="{FF2B5EF4-FFF2-40B4-BE49-F238E27FC236}">
              <a16:creationId xmlns:a16="http://schemas.microsoft.com/office/drawing/2014/main" xmlns="" id="{00000000-0008-0000-0400-000026000000}"/>
            </a:ext>
          </a:extLst>
        </xdr:cNvPr>
        <xdr:cNvSpPr/>
      </xdr:nvSpPr>
      <xdr:spPr>
        <a:xfrm>
          <a:off x="2314575" y="9525000"/>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495300</xdr:colOff>
      <xdr:row>51</xdr:row>
      <xdr:rowOff>47625</xdr:rowOff>
    </xdr:from>
    <xdr:to>
      <xdr:col>3</xdr:col>
      <xdr:colOff>590550</xdr:colOff>
      <xdr:row>51</xdr:row>
      <xdr:rowOff>142875</xdr:rowOff>
    </xdr:to>
    <xdr:sp macro="" textlink="">
      <xdr:nvSpPr>
        <xdr:cNvPr id="39" name="Fluxograma: Conector 38">
          <a:extLst>
            <a:ext uri="{FF2B5EF4-FFF2-40B4-BE49-F238E27FC236}">
              <a16:creationId xmlns:a16="http://schemas.microsoft.com/office/drawing/2014/main" xmlns="" id="{00000000-0008-0000-0400-000027000000}"/>
            </a:ext>
          </a:extLst>
        </xdr:cNvPr>
        <xdr:cNvSpPr/>
      </xdr:nvSpPr>
      <xdr:spPr>
        <a:xfrm>
          <a:off x="2324100" y="9886950"/>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495300</xdr:colOff>
      <xdr:row>89</xdr:row>
      <xdr:rowOff>66675</xdr:rowOff>
    </xdr:from>
    <xdr:to>
      <xdr:col>3</xdr:col>
      <xdr:colOff>590550</xdr:colOff>
      <xdr:row>89</xdr:row>
      <xdr:rowOff>161925</xdr:rowOff>
    </xdr:to>
    <xdr:sp macro="" textlink="">
      <xdr:nvSpPr>
        <xdr:cNvPr id="41" name="Fluxograma: Conector 40">
          <a:extLst>
            <a:ext uri="{FF2B5EF4-FFF2-40B4-BE49-F238E27FC236}">
              <a16:creationId xmlns:a16="http://schemas.microsoft.com/office/drawing/2014/main" xmlns="" id="{00000000-0008-0000-0400-000029000000}"/>
            </a:ext>
          </a:extLst>
        </xdr:cNvPr>
        <xdr:cNvSpPr/>
      </xdr:nvSpPr>
      <xdr:spPr>
        <a:xfrm>
          <a:off x="2324100" y="17154525"/>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485775</xdr:colOff>
      <xdr:row>91</xdr:row>
      <xdr:rowOff>57150</xdr:rowOff>
    </xdr:from>
    <xdr:to>
      <xdr:col>3</xdr:col>
      <xdr:colOff>581025</xdr:colOff>
      <xdr:row>91</xdr:row>
      <xdr:rowOff>152400</xdr:rowOff>
    </xdr:to>
    <xdr:sp macro="" textlink="">
      <xdr:nvSpPr>
        <xdr:cNvPr id="42" name="Fluxograma: Conector 41">
          <a:extLst>
            <a:ext uri="{FF2B5EF4-FFF2-40B4-BE49-F238E27FC236}">
              <a16:creationId xmlns:a16="http://schemas.microsoft.com/office/drawing/2014/main" xmlns="" id="{00000000-0008-0000-0400-00002A000000}"/>
            </a:ext>
          </a:extLst>
        </xdr:cNvPr>
        <xdr:cNvSpPr/>
      </xdr:nvSpPr>
      <xdr:spPr>
        <a:xfrm>
          <a:off x="2314575" y="17526000"/>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66674</xdr:colOff>
      <xdr:row>93</xdr:row>
      <xdr:rowOff>57656</xdr:rowOff>
    </xdr:from>
    <xdr:to>
      <xdr:col>23</xdr:col>
      <xdr:colOff>254931</xdr:colOff>
      <xdr:row>124</xdr:row>
      <xdr:rowOff>104774</xdr:rowOff>
    </xdr:to>
    <xdr:pic>
      <xdr:nvPicPr>
        <xdr:cNvPr id="43" name="Imagem 42">
          <a:extLst>
            <a:ext uri="{FF2B5EF4-FFF2-40B4-BE49-F238E27FC236}">
              <a16:creationId xmlns:a16="http://schemas.microsoft.com/office/drawing/2014/main" xmlns="" id="{00000000-0008-0000-0400-00002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05074" y="17926556"/>
          <a:ext cx="11770657" cy="5952618"/>
        </a:xfrm>
        <a:prstGeom prst="rect">
          <a:avLst/>
        </a:prstGeom>
      </xdr:spPr>
    </xdr:pic>
    <xdr:clientData/>
  </xdr:twoCellAnchor>
  <xdr:twoCellAnchor>
    <xdr:from>
      <xdr:col>10</xdr:col>
      <xdr:colOff>209550</xdr:colOff>
      <xdr:row>91</xdr:row>
      <xdr:rowOff>114300</xdr:rowOff>
    </xdr:from>
    <xdr:to>
      <xdr:col>12</xdr:col>
      <xdr:colOff>0</xdr:colOff>
      <xdr:row>95</xdr:row>
      <xdr:rowOff>172707</xdr:rowOff>
    </xdr:to>
    <xdr:grpSp>
      <xdr:nvGrpSpPr>
        <xdr:cNvPr id="53" name="Agrupar 52">
          <a:extLst>
            <a:ext uri="{FF2B5EF4-FFF2-40B4-BE49-F238E27FC236}">
              <a16:creationId xmlns:a16="http://schemas.microsoft.com/office/drawing/2014/main" xmlns="" id="{00000000-0008-0000-0400-000035000000}"/>
            </a:ext>
          </a:extLst>
        </xdr:cNvPr>
        <xdr:cNvGrpSpPr/>
      </xdr:nvGrpSpPr>
      <xdr:grpSpPr>
        <a:xfrm>
          <a:off x="5229225" y="18116550"/>
          <a:ext cx="1009650" cy="868032"/>
          <a:chOff x="5886450" y="17592675"/>
          <a:chExt cx="1009650" cy="829932"/>
        </a:xfrm>
      </xdr:grpSpPr>
      <xdr:cxnSp macro="">
        <xdr:nvCxnSpPr>
          <xdr:cNvPr id="45" name="Conector reto 44">
            <a:extLst>
              <a:ext uri="{FF2B5EF4-FFF2-40B4-BE49-F238E27FC236}">
                <a16:creationId xmlns:a16="http://schemas.microsoft.com/office/drawing/2014/main" xmlns="" id="{00000000-0008-0000-0400-00002D000000}"/>
              </a:ext>
            </a:extLst>
          </xdr:cNvPr>
          <xdr:cNvCxnSpPr/>
        </xdr:nvCxnSpPr>
        <xdr:spPr>
          <a:xfrm>
            <a:off x="5886450" y="17602214"/>
            <a:ext cx="1009650" cy="1"/>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7" name="Conector de Seta Reta 46">
            <a:extLst>
              <a:ext uri="{FF2B5EF4-FFF2-40B4-BE49-F238E27FC236}">
                <a16:creationId xmlns:a16="http://schemas.microsoft.com/office/drawing/2014/main" xmlns="" id="{00000000-0008-0000-0400-00002F000000}"/>
              </a:ext>
            </a:extLst>
          </xdr:cNvPr>
          <xdr:cNvCxnSpPr/>
        </xdr:nvCxnSpPr>
        <xdr:spPr>
          <a:xfrm>
            <a:off x="6886575" y="17592675"/>
            <a:ext cx="9525" cy="82993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485775</xdr:colOff>
      <xdr:row>126</xdr:row>
      <xdr:rowOff>66675</xdr:rowOff>
    </xdr:from>
    <xdr:to>
      <xdr:col>3</xdr:col>
      <xdr:colOff>581025</xdr:colOff>
      <xdr:row>126</xdr:row>
      <xdr:rowOff>161925</xdr:rowOff>
    </xdr:to>
    <xdr:sp macro="" textlink="">
      <xdr:nvSpPr>
        <xdr:cNvPr id="55" name="Fluxograma: Conector 54">
          <a:extLst>
            <a:ext uri="{FF2B5EF4-FFF2-40B4-BE49-F238E27FC236}">
              <a16:creationId xmlns:a16="http://schemas.microsoft.com/office/drawing/2014/main" xmlns="" id="{00000000-0008-0000-0400-000037000000}"/>
            </a:ext>
          </a:extLst>
        </xdr:cNvPr>
        <xdr:cNvSpPr/>
      </xdr:nvSpPr>
      <xdr:spPr>
        <a:xfrm>
          <a:off x="2314575" y="24222075"/>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92075</xdr:colOff>
      <xdr:row>126</xdr:row>
      <xdr:rowOff>123825</xdr:rowOff>
    </xdr:from>
    <xdr:to>
      <xdr:col>23</xdr:col>
      <xdr:colOff>250733</xdr:colOff>
      <xdr:row>159</xdr:row>
      <xdr:rowOff>114300</xdr:rowOff>
    </xdr:to>
    <xdr:grpSp>
      <xdr:nvGrpSpPr>
        <xdr:cNvPr id="13" name="Agrupar 12">
          <a:extLst>
            <a:ext uri="{FF2B5EF4-FFF2-40B4-BE49-F238E27FC236}">
              <a16:creationId xmlns:a16="http://schemas.microsoft.com/office/drawing/2014/main" xmlns="" id="{00000000-0008-0000-0400-00000D000000}"/>
            </a:ext>
          </a:extLst>
        </xdr:cNvPr>
        <xdr:cNvGrpSpPr/>
      </xdr:nvGrpSpPr>
      <xdr:grpSpPr>
        <a:xfrm>
          <a:off x="1311275" y="24841200"/>
          <a:ext cx="11883933" cy="6324600"/>
          <a:chOff x="1311275" y="24304625"/>
          <a:chExt cx="11741058" cy="6289675"/>
        </a:xfrm>
      </xdr:grpSpPr>
      <xdr:pic>
        <xdr:nvPicPr>
          <xdr:cNvPr id="56" name="Imagem 55">
            <a:extLst>
              <a:ext uri="{FF2B5EF4-FFF2-40B4-BE49-F238E27FC236}">
                <a16:creationId xmlns:a16="http://schemas.microsoft.com/office/drawing/2014/main" xmlns="" id="{00000000-0008-0000-0400-00003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11275" y="24638168"/>
            <a:ext cx="11741058" cy="5956132"/>
          </a:xfrm>
          <a:prstGeom prst="rect">
            <a:avLst/>
          </a:prstGeom>
        </xdr:spPr>
      </xdr:pic>
      <xdr:cxnSp macro="">
        <xdr:nvCxnSpPr>
          <xdr:cNvPr id="62" name="Conector reto 61">
            <a:extLst>
              <a:ext uri="{FF2B5EF4-FFF2-40B4-BE49-F238E27FC236}">
                <a16:creationId xmlns:a16="http://schemas.microsoft.com/office/drawing/2014/main" xmlns="" id="{00000000-0008-0000-0400-00003E000000}"/>
              </a:ext>
            </a:extLst>
          </xdr:cNvPr>
          <xdr:cNvCxnSpPr/>
        </xdr:nvCxnSpPr>
        <xdr:spPr>
          <a:xfrm>
            <a:off x="5393295" y="24307800"/>
            <a:ext cx="2790772" cy="15769"/>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Conector de Seta Reta 62">
            <a:extLst>
              <a:ext uri="{FF2B5EF4-FFF2-40B4-BE49-F238E27FC236}">
                <a16:creationId xmlns:a16="http://schemas.microsoft.com/office/drawing/2014/main" xmlns="" id="{00000000-0008-0000-0400-00003F000000}"/>
              </a:ext>
            </a:extLst>
          </xdr:cNvPr>
          <xdr:cNvCxnSpPr/>
        </xdr:nvCxnSpPr>
        <xdr:spPr>
          <a:xfrm>
            <a:off x="8187546" y="24304625"/>
            <a:ext cx="32529" cy="3869103"/>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466725</xdr:colOff>
      <xdr:row>161</xdr:row>
      <xdr:rowOff>57150</xdr:rowOff>
    </xdr:from>
    <xdr:to>
      <xdr:col>3</xdr:col>
      <xdr:colOff>561975</xdr:colOff>
      <xdr:row>161</xdr:row>
      <xdr:rowOff>152400</xdr:rowOff>
    </xdr:to>
    <xdr:sp macro="" textlink="">
      <xdr:nvSpPr>
        <xdr:cNvPr id="65" name="Fluxograma: Conector 64">
          <a:extLst>
            <a:ext uri="{FF2B5EF4-FFF2-40B4-BE49-F238E27FC236}">
              <a16:creationId xmlns:a16="http://schemas.microsoft.com/office/drawing/2014/main" xmlns="" id="{00000000-0008-0000-0400-000041000000}"/>
            </a:ext>
          </a:extLst>
        </xdr:cNvPr>
        <xdr:cNvSpPr/>
      </xdr:nvSpPr>
      <xdr:spPr>
        <a:xfrm>
          <a:off x="2295525" y="30889575"/>
          <a:ext cx="95250" cy="95250"/>
        </a:xfrm>
        <a:prstGeom prst="flowChartConnector">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533399</xdr:colOff>
      <xdr:row>163</xdr:row>
      <xdr:rowOff>15368</xdr:rowOff>
    </xdr:from>
    <xdr:to>
      <xdr:col>23</xdr:col>
      <xdr:colOff>504825</xdr:colOff>
      <xdr:row>208</xdr:row>
      <xdr:rowOff>50094</xdr:rowOff>
    </xdr:to>
    <xdr:grpSp>
      <xdr:nvGrpSpPr>
        <xdr:cNvPr id="7" name="Agrupar 6">
          <a:extLst>
            <a:ext uri="{FF2B5EF4-FFF2-40B4-BE49-F238E27FC236}">
              <a16:creationId xmlns:a16="http://schemas.microsoft.com/office/drawing/2014/main" xmlns="" id="{00000000-0008-0000-0400-000007000000}"/>
            </a:ext>
          </a:extLst>
        </xdr:cNvPr>
        <xdr:cNvGrpSpPr/>
      </xdr:nvGrpSpPr>
      <xdr:grpSpPr>
        <a:xfrm>
          <a:off x="1142999" y="31876493"/>
          <a:ext cx="12306301" cy="8607226"/>
          <a:chOff x="1724024" y="31781243"/>
          <a:chExt cx="12163426" cy="8607226"/>
        </a:xfrm>
      </xdr:grpSpPr>
      <xdr:pic>
        <xdr:nvPicPr>
          <xdr:cNvPr id="5" name="Imagem 4">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24024" y="31781243"/>
            <a:ext cx="12163426" cy="8607226"/>
          </a:xfrm>
          <a:prstGeom prst="rect">
            <a:avLst/>
          </a:prstGeom>
        </xdr:spPr>
      </xdr:pic>
      <xdr:sp macro="" textlink="">
        <xdr:nvSpPr>
          <xdr:cNvPr id="44" name="Fluxograma: Conector 43">
            <a:extLst>
              <a:ext uri="{FF2B5EF4-FFF2-40B4-BE49-F238E27FC236}">
                <a16:creationId xmlns:a16="http://schemas.microsoft.com/office/drawing/2014/main" xmlns="" id="{00000000-0008-0000-0400-00002C000000}"/>
              </a:ext>
            </a:extLst>
          </xdr:cNvPr>
          <xdr:cNvSpPr/>
        </xdr:nvSpPr>
        <xdr:spPr>
          <a:xfrm>
            <a:off x="7419974" y="36153218"/>
            <a:ext cx="95250" cy="9525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rgbClr val="FF0000"/>
              </a:solidFill>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X12739806/Desktop/Backup%20GESIH/GESIH/META%202%20-%20Aprimoramento%20base%20dados%20e%20inser&#231;&#227;o%20dados%20no%20SNISB/FINALIZA&#199;&#195;O%20PLANILHA%20CADASTRO/Vers&#227;o_22_02_19/Formul&#225;rio_Cadastramento_22_02_pessoa%20f&#237;sica%20e%20jur&#237;dic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Cadastro"/>
      <sheetName val="Formulário Preenchido"/>
      <sheetName val="Formulário Impressão"/>
      <sheetName val="Calculadora Geográfica"/>
      <sheetName val="Obtenção UPGRH"/>
      <sheetName val="Classificação"/>
      <sheetName val="Seleção"/>
    </sheetNames>
    <sheetDataSet>
      <sheetData sheetId="0"/>
      <sheetData sheetId="1"/>
      <sheetData sheetId="2"/>
      <sheetData sheetId="3"/>
      <sheetData sheetId="4"/>
      <sheetData sheetId="5">
        <row r="157">
          <cell r="B157" t="str">
            <v>A</v>
          </cell>
          <cell r="C157" t="str">
            <v xml:space="preserve">•   	Plano de Segurança de Barragens - PSB;
•   	Plano de Ação de Emergência - PAE; 
•   	Revisão Periódica de Segurança de Segurança de Barragem    
PRAZO: 1 ANO                                                                                                                                                            </v>
          </cell>
          <cell r="D157">
            <v>0</v>
          </cell>
          <cell r="E157">
            <v>0</v>
          </cell>
          <cell r="F157">
            <v>0</v>
          </cell>
          <cell r="G157">
            <v>0</v>
          </cell>
        </row>
        <row r="158">
          <cell r="B158" t="str">
            <v>B</v>
          </cell>
          <cell r="C158" t="str">
            <v xml:space="preserve">•   	Plano de Segurança de Barragens - PSB;
•   	Plano de Ação de Emergência - PAE; 
•   	Revisão Periódica de Segurança de Segurança de Barragem    
PRAZO: 1 ANO                                                                                                                                                            </v>
          </cell>
          <cell r="D158">
            <v>0</v>
          </cell>
          <cell r="E158">
            <v>0</v>
          </cell>
          <cell r="F158">
            <v>0</v>
          </cell>
          <cell r="G158">
            <v>0</v>
          </cell>
        </row>
        <row r="159">
          <cell r="B159" t="str">
            <v>C</v>
          </cell>
          <cell r="C159" t="str">
            <v xml:space="preserve">•  	Plano de Segurança de Barragens - PSB;
•  	Revisão Periódica de Segurança de Segurança de Barragem. 
PRAZO: 3 ANOS                                                                                                                                                                         </v>
          </cell>
          <cell r="D159">
            <v>0</v>
          </cell>
          <cell r="E159">
            <v>0</v>
          </cell>
          <cell r="F159">
            <v>0</v>
          </cell>
          <cell r="G159">
            <v>0</v>
          </cell>
        </row>
        <row r="160">
          <cell r="B160" t="str">
            <v>D</v>
          </cell>
          <cell r="C160" t="str">
            <v xml:space="preserve">•  	Plano de Segurança de Barragens - PSB;
•  	Revisão Periódica de Segurança de Segurança de Barragem. 
PRAZO: 3 ANOS                                                                                                                                                                         </v>
          </cell>
          <cell r="D160">
            <v>0</v>
          </cell>
          <cell r="E160">
            <v>0</v>
          </cell>
          <cell r="F160">
            <v>0</v>
          </cell>
          <cell r="G160">
            <v>0</v>
          </cell>
        </row>
      </sheetData>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joaodasilva@gmail.com" TargetMode="External"/><Relationship Id="rId7" Type="http://schemas.openxmlformats.org/officeDocument/2006/relationships/printerSettings" Target="../printerSettings/printerSettings2.bin"/><Relationship Id="rId2" Type="http://schemas.openxmlformats.org/officeDocument/2006/relationships/hyperlink" Target="mailto:JOAODASILVA@GMaiL.COM" TargetMode="External"/><Relationship Id="rId1" Type="http://schemas.openxmlformats.org/officeDocument/2006/relationships/hyperlink" Target="mailto:joaodasilva@gmail.com" TargetMode="External"/><Relationship Id="rId6" Type="http://schemas.openxmlformats.org/officeDocument/2006/relationships/hyperlink" Target="mailto:caemg@mg.gov.br" TargetMode="External"/><Relationship Id="rId5" Type="http://schemas.openxmlformats.org/officeDocument/2006/relationships/hyperlink" Target="mailto:CAEMG@MG.GOV.BR" TargetMode="External"/><Relationship Id="rId4" Type="http://schemas.openxmlformats.org/officeDocument/2006/relationships/hyperlink" Target="mailto:caemg@mg.gov.b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dpi.inpe.br/calcula/"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idesisema.meioambiente.mg.gov.b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U149"/>
  <sheetViews>
    <sheetView tabSelected="1" topLeftCell="D114" zoomScale="85" zoomScaleNormal="85" workbookViewId="0">
      <selection activeCell="F125" sqref="F125:H125"/>
    </sheetView>
  </sheetViews>
  <sheetFormatPr defaultColWidth="9.140625" defaultRowHeight="15.75" x14ac:dyDescent="0.25"/>
  <cols>
    <col min="1" max="1" width="8.28515625" style="2" hidden="1" customWidth="1"/>
    <col min="2" max="2" width="8.28515625" style="2" customWidth="1"/>
    <col min="3" max="3" width="19.85546875" style="2" customWidth="1"/>
    <col min="4" max="4" width="9.140625" style="2"/>
    <col min="5" max="5" width="19.5703125" style="2" customWidth="1"/>
    <col min="6" max="7" width="12.7109375" style="2" customWidth="1"/>
    <col min="8" max="8" width="37.5703125" style="2" customWidth="1"/>
    <col min="9" max="9" width="4" style="2" customWidth="1"/>
    <col min="10" max="10" width="16.7109375" style="2" customWidth="1"/>
    <col min="11" max="11" width="70" style="2" customWidth="1"/>
    <col min="12" max="12" width="52.140625" style="2" customWidth="1"/>
    <col min="13" max="13" width="9.140625" style="2" customWidth="1"/>
    <col min="14" max="14" width="9.140625" style="2" hidden="1" customWidth="1"/>
    <col min="15" max="15" width="42.42578125" style="2" hidden="1" customWidth="1"/>
    <col min="16" max="16" width="22.5703125" style="2" hidden="1" customWidth="1"/>
    <col min="17" max="17" width="9.140625" style="2" hidden="1" customWidth="1"/>
    <col min="18" max="18" width="22.7109375" style="2" hidden="1" customWidth="1"/>
    <col min="19" max="19" width="26.28515625" style="2" hidden="1" customWidth="1"/>
    <col min="20" max="21" width="9.140625" style="2" hidden="1" customWidth="1"/>
    <col min="22" max="22" width="0" style="2" hidden="1" customWidth="1"/>
    <col min="23" max="16384" width="9.140625" style="2"/>
  </cols>
  <sheetData>
    <row r="1" spans="1:12" ht="12.75" customHeight="1" x14ac:dyDescent="0.25">
      <c r="B1" s="101"/>
    </row>
    <row r="2" spans="1:12" ht="28.5" customHeight="1" x14ac:dyDescent="0.35">
      <c r="A2" s="218" t="s">
        <v>1226</v>
      </c>
      <c r="B2" s="218"/>
      <c r="C2" s="218"/>
      <c r="D2" s="83"/>
      <c r="E2" s="83"/>
      <c r="F2" s="83"/>
      <c r="G2" s="83"/>
      <c r="H2" s="83"/>
      <c r="I2" s="83"/>
    </row>
    <row r="3" spans="1:12" ht="42.75" customHeight="1" x14ac:dyDescent="0.25">
      <c r="C3" s="238" t="s">
        <v>1227</v>
      </c>
      <c r="D3" s="238"/>
      <c r="E3" s="238"/>
      <c r="F3" s="238"/>
      <c r="G3" s="238"/>
      <c r="H3" s="238"/>
      <c r="I3" s="238"/>
    </row>
    <row r="4" spans="1:12" ht="24.75" customHeight="1" x14ac:dyDescent="0.3">
      <c r="C4" s="239" t="s">
        <v>1246</v>
      </c>
      <c r="D4" s="239"/>
      <c r="E4" s="239"/>
      <c r="F4" s="239"/>
      <c r="G4" s="239"/>
      <c r="H4" s="239"/>
      <c r="I4" s="239"/>
    </row>
    <row r="5" spans="1:12" ht="30.75" customHeight="1" x14ac:dyDescent="0.3">
      <c r="C5" s="240" t="s">
        <v>1402</v>
      </c>
      <c r="D5" s="240"/>
      <c r="E5" s="240"/>
      <c r="F5" s="240"/>
      <c r="G5" s="240"/>
      <c r="H5" s="240"/>
      <c r="I5" s="84"/>
    </row>
    <row r="6" spans="1:12" ht="81.75" customHeight="1" x14ac:dyDescent="0.25">
      <c r="C6" s="241" t="s">
        <v>1403</v>
      </c>
      <c r="D6" s="241"/>
      <c r="E6" s="241"/>
      <c r="F6" s="241"/>
      <c r="G6" s="241"/>
      <c r="H6" s="241"/>
      <c r="I6" s="241"/>
    </row>
    <row r="7" spans="1:12" ht="18.75" x14ac:dyDescent="0.3">
      <c r="C7" s="84"/>
      <c r="D7" s="84"/>
      <c r="E7" s="84"/>
      <c r="F7" s="84"/>
      <c r="G7" s="84"/>
      <c r="H7" s="84"/>
      <c r="I7" s="84"/>
    </row>
    <row r="9" spans="1:12" ht="21" x14ac:dyDescent="0.35">
      <c r="C9" s="334" t="s">
        <v>1141</v>
      </c>
      <c r="D9" s="334"/>
      <c r="E9" s="334"/>
      <c r="F9" s="334"/>
      <c r="G9" s="334"/>
    </row>
    <row r="13" spans="1:12" ht="16.5" thickBot="1" x14ac:dyDescent="0.3"/>
    <row r="14" spans="1:12" ht="15.75" customHeight="1" x14ac:dyDescent="0.25">
      <c r="C14" s="242" t="s">
        <v>1140</v>
      </c>
      <c r="D14" s="243"/>
      <c r="E14" s="243"/>
      <c r="F14" s="243"/>
      <c r="G14" s="243"/>
      <c r="H14" s="244"/>
      <c r="J14" s="251" t="s">
        <v>1058</v>
      </c>
      <c r="K14" s="252"/>
      <c r="L14" s="253"/>
    </row>
    <row r="15" spans="1:12" ht="15.75" customHeight="1" x14ac:dyDescent="0.25">
      <c r="C15" s="245"/>
      <c r="D15" s="246"/>
      <c r="E15" s="246"/>
      <c r="F15" s="246"/>
      <c r="G15" s="246"/>
      <c r="H15" s="247"/>
      <c r="I15" s="85"/>
      <c r="J15" s="254"/>
      <c r="K15" s="255"/>
      <c r="L15" s="256"/>
    </row>
    <row r="16" spans="1:12" ht="15.75" customHeight="1" thickBot="1" x14ac:dyDescent="0.3">
      <c r="C16" s="245"/>
      <c r="D16" s="246"/>
      <c r="E16" s="246"/>
      <c r="F16" s="246"/>
      <c r="G16" s="246"/>
      <c r="H16" s="247"/>
      <c r="I16" s="85"/>
      <c r="J16" s="257"/>
      <c r="K16" s="258"/>
      <c r="L16" s="259"/>
    </row>
    <row r="17" spans="3:19" ht="23.25" customHeight="1" thickBot="1" x14ac:dyDescent="0.3">
      <c r="C17" s="248"/>
      <c r="D17" s="249"/>
      <c r="E17" s="249"/>
      <c r="F17" s="249"/>
      <c r="G17" s="249"/>
      <c r="H17" s="250"/>
      <c r="I17" s="86"/>
      <c r="J17" s="87" t="s">
        <v>1142</v>
      </c>
      <c r="K17" s="223" t="s">
        <v>14</v>
      </c>
      <c r="L17" s="224"/>
      <c r="N17" s="165" t="s">
        <v>1391</v>
      </c>
      <c r="O17" s="167"/>
      <c r="P17" s="358" t="s">
        <v>1389</v>
      </c>
      <c r="Q17" s="359"/>
      <c r="R17" s="360"/>
    </row>
    <row r="18" spans="3:19" ht="15.75" customHeight="1" thickBot="1" x14ac:dyDescent="0.3">
      <c r="C18" s="228" t="s">
        <v>1057</v>
      </c>
      <c r="D18" s="229"/>
      <c r="E18" s="229"/>
      <c r="F18" s="229"/>
      <c r="G18" s="229"/>
      <c r="H18" s="230"/>
      <c r="I18" s="88"/>
      <c r="J18" s="260" t="s">
        <v>1057</v>
      </c>
      <c r="K18" s="261"/>
      <c r="L18" s="262"/>
      <c r="N18" s="89"/>
      <c r="O18" s="89"/>
      <c r="P18" s="90">
        <v>0</v>
      </c>
      <c r="Q18" s="179">
        <v>1</v>
      </c>
      <c r="R18" s="361"/>
      <c r="S18" s="91"/>
    </row>
    <row r="19" spans="3:19" ht="15.75" customHeight="1" x14ac:dyDescent="0.25">
      <c r="C19" s="234" t="s">
        <v>23</v>
      </c>
      <c r="D19" s="235"/>
      <c r="E19" s="235"/>
      <c r="F19" s="263"/>
      <c r="G19" s="264"/>
      <c r="H19" s="265"/>
      <c r="I19" s="88"/>
      <c r="J19" s="92" t="s">
        <v>1060</v>
      </c>
      <c r="K19" s="221" t="s">
        <v>1429</v>
      </c>
      <c r="L19" s="222"/>
      <c r="N19" s="89"/>
      <c r="O19" s="89"/>
      <c r="P19" s="90">
        <f>IF(ISBLANK($F$19),$Q$18,$P$18)</f>
        <v>1</v>
      </c>
      <c r="Q19" s="93" t="str">
        <f>IF($P$19=1,"- Nome fantasia; ","  ")</f>
        <v xml:space="preserve">- Nome fantasia; </v>
      </c>
      <c r="R19" s="94"/>
      <c r="S19" s="95"/>
    </row>
    <row r="20" spans="3:19" ht="33.75" customHeight="1" x14ac:dyDescent="0.25">
      <c r="C20" s="266" t="s">
        <v>1216</v>
      </c>
      <c r="D20" s="267"/>
      <c r="E20" s="268"/>
      <c r="F20" s="269"/>
      <c r="G20" s="269"/>
      <c r="H20" s="270"/>
      <c r="I20" s="88"/>
      <c r="J20" s="92" t="s">
        <v>1059</v>
      </c>
      <c r="K20" s="136" t="s">
        <v>1430</v>
      </c>
      <c r="L20" s="137"/>
      <c r="N20" s="89"/>
      <c r="O20" s="89"/>
      <c r="P20" s="90"/>
      <c r="Q20" s="93" t="str">
        <f>IF($P$20=1,"- CPF empreendimento; ","  ")</f>
        <v xml:space="preserve">  </v>
      </c>
      <c r="R20" s="94"/>
      <c r="S20" s="95"/>
    </row>
    <row r="21" spans="3:19" ht="33" customHeight="1" x14ac:dyDescent="0.25">
      <c r="C21" s="266" t="s">
        <v>1217</v>
      </c>
      <c r="D21" s="267"/>
      <c r="E21" s="268"/>
      <c r="F21" s="271"/>
      <c r="G21" s="272"/>
      <c r="H21" s="273"/>
      <c r="I21" s="88"/>
      <c r="J21" s="92" t="s">
        <v>1059</v>
      </c>
      <c r="K21" s="136" t="s">
        <v>1431</v>
      </c>
      <c r="L21" s="137"/>
      <c r="N21" s="89"/>
      <c r="O21" s="89"/>
      <c r="P21" s="90"/>
      <c r="Q21" s="93" t="str">
        <f>IF($P$21=1,"- CNPJ empreendimento; ","  ")</f>
        <v xml:space="preserve">  </v>
      </c>
      <c r="R21" s="94"/>
      <c r="S21" s="95"/>
    </row>
    <row r="22" spans="3:19" ht="15.75" customHeight="1" x14ac:dyDescent="0.25">
      <c r="C22" s="278" t="s">
        <v>2</v>
      </c>
      <c r="D22" s="279"/>
      <c r="E22" s="279"/>
      <c r="F22" s="172"/>
      <c r="G22" s="172"/>
      <c r="H22" s="173"/>
      <c r="I22" s="88"/>
      <c r="J22" s="92" t="s">
        <v>1060</v>
      </c>
      <c r="K22" s="136" t="s">
        <v>1218</v>
      </c>
      <c r="L22" s="137"/>
      <c r="N22" s="89"/>
      <c r="O22" s="89"/>
      <c r="P22" s="90">
        <f>IF(ISBLANK($F$22),$Q$18,$P$18)</f>
        <v>1</v>
      </c>
      <c r="Q22" s="93" t="str">
        <f>IF($P$22=1,"- Nome da estrutura / barragem; ","  ")</f>
        <v xml:space="preserve">- Nome da estrutura / barragem; </v>
      </c>
      <c r="R22" s="94"/>
      <c r="S22" s="95"/>
    </row>
    <row r="23" spans="3:19" ht="15.75" customHeight="1" x14ac:dyDescent="0.25">
      <c r="C23" s="280" t="s">
        <v>22</v>
      </c>
      <c r="D23" s="225" t="s">
        <v>1143</v>
      </c>
      <c r="E23" s="225"/>
      <c r="F23" s="172"/>
      <c r="G23" s="172"/>
      <c r="H23" s="173"/>
      <c r="I23" s="88"/>
      <c r="J23" s="92" t="s">
        <v>1060</v>
      </c>
      <c r="K23" s="136" t="s">
        <v>1178</v>
      </c>
      <c r="L23" s="137"/>
      <c r="N23" s="89"/>
      <c r="O23" s="89"/>
      <c r="P23" s="90">
        <f>IF(ISBLANK($F$23),$Q$18,$P$18)</f>
        <v>1</v>
      </c>
      <c r="Q23" s="93" t="str">
        <f>IF($P$23=1,"- Logradouro empreendimento; ","  ")</f>
        <v xml:space="preserve">- Logradouro empreendimento; </v>
      </c>
      <c r="R23" s="94"/>
      <c r="S23" s="95"/>
    </row>
    <row r="24" spans="3:19" ht="15.75" customHeight="1" x14ac:dyDescent="0.25">
      <c r="C24" s="280"/>
      <c r="D24" s="225" t="s">
        <v>3</v>
      </c>
      <c r="E24" s="225"/>
      <c r="F24" s="274"/>
      <c r="G24" s="274"/>
      <c r="H24" s="275"/>
      <c r="I24" s="88"/>
      <c r="J24" s="92" t="s">
        <v>1060</v>
      </c>
      <c r="K24" s="136" t="s">
        <v>1185</v>
      </c>
      <c r="L24" s="137"/>
      <c r="N24" s="89"/>
      <c r="O24" s="89"/>
      <c r="P24" s="90"/>
      <c r="Q24" s="93"/>
      <c r="R24" s="94"/>
      <c r="S24" s="95"/>
    </row>
    <row r="25" spans="3:19" x14ac:dyDescent="0.25">
      <c r="C25" s="280"/>
      <c r="D25" s="225" t="s">
        <v>5</v>
      </c>
      <c r="E25" s="225"/>
      <c r="F25" s="276"/>
      <c r="G25" s="276"/>
      <c r="H25" s="277"/>
      <c r="I25" s="88"/>
      <c r="J25" s="92" t="s">
        <v>1059</v>
      </c>
      <c r="K25" s="221" t="s">
        <v>1225</v>
      </c>
      <c r="L25" s="222"/>
      <c r="N25" s="89"/>
      <c r="O25" s="89"/>
      <c r="P25" s="90"/>
      <c r="Q25" s="93"/>
      <c r="R25" s="94"/>
      <c r="S25" s="95"/>
    </row>
    <row r="26" spans="3:19" ht="15.75" customHeight="1" x14ac:dyDescent="0.25">
      <c r="C26" s="280"/>
      <c r="D26" s="225" t="s">
        <v>6</v>
      </c>
      <c r="E26" s="225"/>
      <c r="F26" s="274"/>
      <c r="G26" s="274"/>
      <c r="H26" s="275"/>
      <c r="I26" s="85"/>
      <c r="J26" s="92" t="s">
        <v>1060</v>
      </c>
      <c r="K26" s="221" t="s">
        <v>1219</v>
      </c>
      <c r="L26" s="222"/>
      <c r="N26" s="89"/>
      <c r="O26" s="89"/>
      <c r="P26" s="90"/>
      <c r="Q26" s="93"/>
      <c r="R26" s="94"/>
      <c r="S26" s="95"/>
    </row>
    <row r="27" spans="3:19" x14ac:dyDescent="0.25">
      <c r="C27" s="280"/>
      <c r="D27" s="225" t="s">
        <v>7</v>
      </c>
      <c r="E27" s="225"/>
      <c r="F27" s="226"/>
      <c r="G27" s="226"/>
      <c r="H27" s="227"/>
      <c r="I27" s="88"/>
      <c r="J27" s="92" t="s">
        <v>1059</v>
      </c>
      <c r="K27" s="136" t="s">
        <v>1220</v>
      </c>
      <c r="L27" s="137"/>
      <c r="N27" s="89"/>
      <c r="O27" s="89"/>
      <c r="P27" s="90">
        <f>IF(ISBLANK($F$27),$Q$18,$P$18)</f>
        <v>1</v>
      </c>
      <c r="Q27" s="93" t="str">
        <f>IF($P$27=1,"- Telefone empreendimento; ","  ")</f>
        <v xml:space="preserve">- Telefone empreendimento; </v>
      </c>
      <c r="R27" s="94"/>
      <c r="S27" s="95"/>
    </row>
    <row r="28" spans="3:19" ht="16.5" thickBot="1" x14ac:dyDescent="0.3">
      <c r="C28" s="281"/>
      <c r="D28" s="282" t="s">
        <v>1182</v>
      </c>
      <c r="E28" s="282"/>
      <c r="F28" s="283"/>
      <c r="G28" s="284"/>
      <c r="H28" s="285"/>
      <c r="I28" s="88"/>
      <c r="J28" s="92" t="s">
        <v>1060</v>
      </c>
      <c r="K28" s="136" t="s">
        <v>1179</v>
      </c>
      <c r="L28" s="137"/>
      <c r="N28" s="89"/>
      <c r="O28" s="89"/>
      <c r="P28" s="90">
        <f>IF(ISBLANK($F$28),$Q$18,$P$18)</f>
        <v>1</v>
      </c>
      <c r="Q28" s="93" t="str">
        <f>IF($P$28=1,"- E-mail; ","  ")</f>
        <v xml:space="preserve">- E-mail; </v>
      </c>
      <c r="R28" s="94"/>
      <c r="S28" s="95"/>
    </row>
    <row r="29" spans="3:19" ht="15.75" customHeight="1" thickBot="1" x14ac:dyDescent="0.3">
      <c r="C29" s="228" t="s">
        <v>0</v>
      </c>
      <c r="D29" s="229"/>
      <c r="E29" s="229"/>
      <c r="F29" s="229"/>
      <c r="G29" s="229"/>
      <c r="H29" s="230"/>
      <c r="I29" s="88"/>
      <c r="J29" s="231" t="s">
        <v>0</v>
      </c>
      <c r="K29" s="232"/>
      <c r="L29" s="233"/>
      <c r="N29" s="89"/>
      <c r="O29" s="89"/>
      <c r="P29" s="90"/>
      <c r="Q29" s="93"/>
      <c r="R29" s="94"/>
      <c r="S29" s="95"/>
    </row>
    <row r="30" spans="3:19" ht="15.75" customHeight="1" x14ac:dyDescent="0.25">
      <c r="C30" s="234" t="s">
        <v>1</v>
      </c>
      <c r="D30" s="235"/>
      <c r="E30" s="235"/>
      <c r="F30" s="236"/>
      <c r="G30" s="236"/>
      <c r="H30" s="237"/>
      <c r="I30" s="85"/>
      <c r="J30" s="92" t="s">
        <v>1060</v>
      </c>
      <c r="K30" s="221" t="s">
        <v>1221</v>
      </c>
      <c r="L30" s="222"/>
      <c r="N30" s="89"/>
      <c r="O30" s="89"/>
      <c r="P30" s="90">
        <f>IF(ISBLANK($F$30),$Q$18,$P$18)</f>
        <v>1</v>
      </c>
      <c r="Q30" s="93" t="str">
        <f>IF($P$30=1,"- Razão social ou nome; ","  ")</f>
        <v xml:space="preserve">- Razão social ou nome; </v>
      </c>
      <c r="R30" s="94"/>
      <c r="S30" s="95"/>
    </row>
    <row r="31" spans="3:19" ht="29.25" customHeight="1" x14ac:dyDescent="0.25">
      <c r="C31" s="266" t="s">
        <v>1216</v>
      </c>
      <c r="D31" s="267"/>
      <c r="E31" s="268"/>
      <c r="F31" s="269"/>
      <c r="G31" s="269"/>
      <c r="H31" s="270"/>
      <c r="I31" s="85"/>
      <c r="J31" s="92" t="s">
        <v>1059</v>
      </c>
      <c r="K31" s="136" t="s">
        <v>1430</v>
      </c>
      <c r="L31" s="137"/>
      <c r="N31" s="89"/>
      <c r="O31" s="89"/>
      <c r="P31" s="90"/>
      <c r="Q31" s="93" t="str">
        <f>IF($P$31=1,"- CPF empreendedor; ","  ")</f>
        <v xml:space="preserve">  </v>
      </c>
      <c r="R31" s="94"/>
      <c r="S31" s="95"/>
    </row>
    <row r="32" spans="3:19" ht="33.75" customHeight="1" x14ac:dyDescent="0.25">
      <c r="C32" s="266" t="s">
        <v>1217</v>
      </c>
      <c r="D32" s="267"/>
      <c r="E32" s="268"/>
      <c r="F32" s="271"/>
      <c r="G32" s="272"/>
      <c r="H32" s="273"/>
      <c r="I32" s="85"/>
      <c r="J32" s="92" t="s">
        <v>1059</v>
      </c>
      <c r="K32" s="136" t="s">
        <v>1432</v>
      </c>
      <c r="L32" s="137"/>
      <c r="N32" s="89"/>
      <c r="O32" s="89"/>
      <c r="P32" s="90"/>
      <c r="Q32" s="93" t="str">
        <f>IF($P$32=1,"- CNPJ empreendedor; ","  ")</f>
        <v xml:space="preserve">  </v>
      </c>
      <c r="R32" s="94"/>
      <c r="S32" s="95"/>
    </row>
    <row r="33" spans="3:19" ht="15.75" customHeight="1" x14ac:dyDescent="0.25">
      <c r="C33" s="312" t="s">
        <v>1145</v>
      </c>
      <c r="D33" s="225" t="s">
        <v>1143</v>
      </c>
      <c r="E33" s="225"/>
      <c r="F33" s="172"/>
      <c r="G33" s="172"/>
      <c r="H33" s="173"/>
      <c r="I33" s="85"/>
      <c r="J33" s="92" t="s">
        <v>1060</v>
      </c>
      <c r="K33" s="221" t="s">
        <v>1177</v>
      </c>
      <c r="L33" s="222"/>
      <c r="N33" s="89"/>
      <c r="O33" s="89"/>
      <c r="P33" s="90">
        <f>IF(ISBLANK($F$33),$Q$18,$P$18)</f>
        <v>1</v>
      </c>
      <c r="Q33" s="93" t="str">
        <f>IF($P$33=1,"- Logradouro empreendedor; ","  ")</f>
        <v xml:space="preserve">- Logradouro empreendedor; </v>
      </c>
      <c r="R33" s="94"/>
      <c r="S33" s="95"/>
    </row>
    <row r="34" spans="3:19" x14ac:dyDescent="0.25">
      <c r="C34" s="313"/>
      <c r="D34" s="225" t="s">
        <v>1144</v>
      </c>
      <c r="E34" s="225"/>
      <c r="F34" s="274"/>
      <c r="G34" s="274"/>
      <c r="H34" s="275"/>
      <c r="I34" s="85"/>
      <c r="J34" s="92" t="s">
        <v>1059</v>
      </c>
      <c r="K34" s="221" t="s">
        <v>1183</v>
      </c>
      <c r="L34" s="222"/>
      <c r="N34" s="89"/>
      <c r="O34" s="89"/>
      <c r="P34" s="90">
        <f>IF(ISBLANK($F$34),$Q$18,$P$18)</f>
        <v>1</v>
      </c>
      <c r="Q34" s="93" t="str">
        <f>IF($P$34=1,"- Nº empreendedor; ","  ")</f>
        <v xml:space="preserve">- Nº empreendedor; </v>
      </c>
      <c r="R34" s="94"/>
      <c r="S34" s="95"/>
    </row>
    <row r="35" spans="3:19" x14ac:dyDescent="0.25">
      <c r="C35" s="313"/>
      <c r="D35" s="225" t="s">
        <v>4</v>
      </c>
      <c r="E35" s="225"/>
      <c r="F35" s="274"/>
      <c r="G35" s="274"/>
      <c r="H35" s="275"/>
      <c r="I35" s="85"/>
      <c r="J35" s="92" t="s">
        <v>1059</v>
      </c>
      <c r="K35" s="221" t="s">
        <v>1223</v>
      </c>
      <c r="L35" s="222"/>
      <c r="N35" s="89"/>
      <c r="O35" s="89"/>
      <c r="P35" s="90"/>
      <c r="Q35" s="93"/>
      <c r="R35" s="94"/>
      <c r="S35" s="95"/>
    </row>
    <row r="36" spans="3:19" x14ac:dyDescent="0.25">
      <c r="C36" s="313"/>
      <c r="D36" s="289" t="s">
        <v>3</v>
      </c>
      <c r="E36" s="290"/>
      <c r="F36" s="291"/>
      <c r="G36" s="292"/>
      <c r="H36" s="293"/>
      <c r="I36" s="85"/>
      <c r="J36" s="92" t="s">
        <v>1059</v>
      </c>
      <c r="K36" s="221" t="s">
        <v>1184</v>
      </c>
      <c r="L36" s="222"/>
      <c r="N36" s="89"/>
      <c r="O36" s="89"/>
      <c r="P36" s="90">
        <f>IF(ISBLANK($F$36),$Q$18,$P$18)</f>
        <v>1</v>
      </c>
      <c r="Q36" s="93" t="str">
        <f>IF($P$36=1,"- Bairro empreendedor; ","  ")</f>
        <v xml:space="preserve">- Bairro empreendedor; </v>
      </c>
      <c r="R36" s="94"/>
      <c r="S36" s="95"/>
    </row>
    <row r="37" spans="3:19" x14ac:dyDescent="0.25">
      <c r="C37" s="313"/>
      <c r="D37" s="225" t="s">
        <v>5</v>
      </c>
      <c r="E37" s="225"/>
      <c r="F37" s="276"/>
      <c r="G37" s="276"/>
      <c r="H37" s="277"/>
      <c r="I37" s="85"/>
      <c r="J37" s="92" t="s">
        <v>1059</v>
      </c>
      <c r="K37" s="221" t="s">
        <v>1228</v>
      </c>
      <c r="L37" s="222"/>
      <c r="N37" s="89"/>
      <c r="O37" s="89"/>
      <c r="P37" s="90">
        <f>IF(ISBLANK($F$37),$Q$18,$P$18)</f>
        <v>1</v>
      </c>
      <c r="Q37" s="93" t="str">
        <f>IF($P$37=1,"- CEP empreendedor; ","  ")</f>
        <v xml:space="preserve">- CEP empreendedor; </v>
      </c>
      <c r="R37" s="94"/>
      <c r="S37" s="95"/>
    </row>
    <row r="38" spans="3:19" x14ac:dyDescent="0.25">
      <c r="C38" s="313"/>
      <c r="D38" s="225" t="s">
        <v>6</v>
      </c>
      <c r="E38" s="225"/>
      <c r="F38" s="274"/>
      <c r="G38" s="274"/>
      <c r="H38" s="275"/>
      <c r="I38" s="85"/>
      <c r="J38" s="92" t="s">
        <v>1059</v>
      </c>
      <c r="K38" s="221" t="s">
        <v>1180</v>
      </c>
      <c r="L38" s="222"/>
      <c r="N38" s="89"/>
      <c r="O38" s="89"/>
      <c r="P38" s="90">
        <f>IF(ISBLANK($F$38),$Q$18,$P$18)</f>
        <v>1</v>
      </c>
      <c r="Q38" s="93" t="str">
        <f>IF($P$38=1,"- Município / UF empreendedor; ","  ")</f>
        <v xml:space="preserve">- Município / UF empreendedor; </v>
      </c>
      <c r="R38" s="94"/>
      <c r="S38" s="95"/>
    </row>
    <row r="39" spans="3:19" x14ac:dyDescent="0.25">
      <c r="C39" s="313"/>
      <c r="D39" s="225" t="s">
        <v>1061</v>
      </c>
      <c r="E39" s="225"/>
      <c r="F39" s="226"/>
      <c r="G39" s="226"/>
      <c r="H39" s="227"/>
      <c r="I39" s="85"/>
      <c r="J39" s="92" t="s">
        <v>1059</v>
      </c>
      <c r="K39" s="136" t="s">
        <v>1433</v>
      </c>
      <c r="L39" s="137"/>
      <c r="N39" s="89"/>
      <c r="O39" s="89"/>
      <c r="P39" s="90">
        <f>IF(ISBLANK($F$39),$Q$18,$P$18)</f>
        <v>1</v>
      </c>
      <c r="Q39" s="93" t="str">
        <f>IF($P$39=1,"- Telefone 1 empreendedor; ","  ")</f>
        <v xml:space="preserve">- Telefone 1 empreendedor; </v>
      </c>
      <c r="R39" s="94"/>
      <c r="S39" s="95"/>
    </row>
    <row r="40" spans="3:19" x14ac:dyDescent="0.25">
      <c r="C40" s="313"/>
      <c r="D40" s="225" t="s">
        <v>1062</v>
      </c>
      <c r="E40" s="225"/>
      <c r="F40" s="294"/>
      <c r="G40" s="294"/>
      <c r="H40" s="295"/>
      <c r="I40" s="85"/>
      <c r="J40" s="92" t="s">
        <v>1059</v>
      </c>
      <c r="K40" s="136" t="s">
        <v>1224</v>
      </c>
      <c r="L40" s="137"/>
      <c r="N40" s="89"/>
      <c r="O40" s="89"/>
      <c r="P40" s="90">
        <f>IF(ISBLANK($F$40),$Q$18,$P$18)</f>
        <v>1</v>
      </c>
      <c r="Q40" s="93" t="str">
        <f>IF($P$40=1,"- Telefone 2 empreendedor; ","  ")</f>
        <v xml:space="preserve">- Telefone 2 empreendedor; </v>
      </c>
      <c r="R40" s="94"/>
      <c r="S40" s="95"/>
    </row>
    <row r="41" spans="3:19" ht="16.5" thickBot="1" x14ac:dyDescent="0.3">
      <c r="C41" s="313"/>
      <c r="D41" s="282" t="s">
        <v>1182</v>
      </c>
      <c r="E41" s="282"/>
      <c r="F41" s="283"/>
      <c r="G41" s="284"/>
      <c r="H41" s="285"/>
      <c r="I41" s="85"/>
      <c r="J41" s="92" t="s">
        <v>1060</v>
      </c>
      <c r="K41" s="221" t="s">
        <v>1181</v>
      </c>
      <c r="L41" s="222"/>
      <c r="N41" s="89"/>
      <c r="O41" s="89"/>
      <c r="P41" s="90">
        <f>IF(ISBLANK($F$41),$Q$18,$P$18)</f>
        <v>1</v>
      </c>
      <c r="Q41" s="93" t="str">
        <f>IF($P$41=1,"- E-mail empreendedor; ","  ")</f>
        <v xml:space="preserve">- E-mail empreendedor; </v>
      </c>
      <c r="R41" s="94"/>
      <c r="S41" s="95"/>
    </row>
    <row r="42" spans="3:19" ht="16.5" thickBot="1" x14ac:dyDescent="0.3">
      <c r="C42" s="300" t="s">
        <v>27</v>
      </c>
      <c r="D42" s="301"/>
      <c r="E42" s="301"/>
      <c r="F42" s="301"/>
      <c r="G42" s="301"/>
      <c r="H42" s="302"/>
      <c r="I42" s="85"/>
      <c r="J42" s="286" t="s">
        <v>27</v>
      </c>
      <c r="K42" s="287"/>
      <c r="L42" s="288"/>
      <c r="N42" s="89"/>
      <c r="O42" s="89"/>
      <c r="P42" s="90"/>
      <c r="Q42" s="93"/>
      <c r="R42" s="94"/>
      <c r="S42" s="95"/>
    </row>
    <row r="43" spans="3:19" ht="15.75" customHeight="1" x14ac:dyDescent="0.25">
      <c r="C43" s="308" t="s">
        <v>1146</v>
      </c>
      <c r="D43" s="309"/>
      <c r="E43" s="309"/>
      <c r="F43" s="236"/>
      <c r="G43" s="310"/>
      <c r="H43" s="311"/>
      <c r="I43" s="85"/>
      <c r="J43" s="96" t="s">
        <v>1060</v>
      </c>
      <c r="K43" s="136" t="s">
        <v>1448</v>
      </c>
      <c r="L43" s="137"/>
      <c r="N43" s="89"/>
      <c r="O43" s="89"/>
      <c r="P43" s="90">
        <f>IF(ISBLANK($F$43),$Q$18,$P$18)</f>
        <v>1</v>
      </c>
      <c r="Q43" s="93" t="str">
        <f>IF($P$43=1,"- Nome do curso d'água barrado; ","  ")</f>
        <v xml:space="preserve">- Nome do curso d'água barrado; </v>
      </c>
      <c r="R43" s="94"/>
      <c r="S43" s="95"/>
    </row>
    <row r="44" spans="3:19" x14ac:dyDescent="0.25">
      <c r="C44" s="296" t="s">
        <v>1394</v>
      </c>
      <c r="D44" s="297"/>
      <c r="E44" s="297"/>
      <c r="F44" s="298"/>
      <c r="G44" s="298"/>
      <c r="H44" s="299"/>
      <c r="I44" s="85"/>
      <c r="J44" s="96" t="s">
        <v>1060</v>
      </c>
      <c r="K44" s="136" t="s">
        <v>1188</v>
      </c>
      <c r="L44" s="137"/>
      <c r="N44" s="89"/>
      <c r="O44" s="89"/>
      <c r="P44" s="90">
        <f>IF(ISBLANK($F$44),$Q$18,$P$18)</f>
        <v>1</v>
      </c>
      <c r="Q44" s="93" t="str">
        <f>IF($P$44=1,"- Domínio curso d'água; ","  ")</f>
        <v xml:space="preserve">- Domínio curso d'água; </v>
      </c>
      <c r="R44" s="94"/>
      <c r="S44" s="95"/>
    </row>
    <row r="45" spans="3:19" ht="15.75" customHeight="1" x14ac:dyDescent="0.25">
      <c r="C45" s="303" t="s">
        <v>1149</v>
      </c>
      <c r="D45" s="297" t="s">
        <v>15</v>
      </c>
      <c r="E45" s="297"/>
      <c r="F45" s="304" t="s">
        <v>16</v>
      </c>
      <c r="G45" s="304"/>
      <c r="H45" s="305"/>
      <c r="I45" s="85"/>
      <c r="J45" s="96" t="s">
        <v>1060</v>
      </c>
      <c r="K45" s="136" t="s">
        <v>1189</v>
      </c>
      <c r="L45" s="143"/>
      <c r="N45" s="89"/>
      <c r="O45" s="89"/>
      <c r="P45" s="90"/>
      <c r="Q45" s="93" t="str">
        <f>IF($P$45=1,"- Nome fantasia; ","  ")</f>
        <v xml:space="preserve">  </v>
      </c>
      <c r="R45" s="94"/>
      <c r="S45" s="95"/>
    </row>
    <row r="46" spans="3:19" ht="51" customHeight="1" x14ac:dyDescent="0.25">
      <c r="C46" s="303"/>
      <c r="D46" s="219" t="s">
        <v>1207</v>
      </c>
      <c r="E46" s="220"/>
      <c r="F46" s="306"/>
      <c r="G46" s="306"/>
      <c r="H46" s="307"/>
      <c r="I46" s="85"/>
      <c r="J46" s="97" t="s">
        <v>1059</v>
      </c>
      <c r="K46" s="98" t="s">
        <v>1324</v>
      </c>
      <c r="L46" s="216" t="s">
        <v>1447</v>
      </c>
      <c r="N46" s="89"/>
      <c r="O46" s="89"/>
      <c r="P46" s="90">
        <f>IF(ISBLANK($F$46),$Q$18,$P$18)</f>
        <v>1</v>
      </c>
      <c r="Q46" s="93" t="str">
        <f>IF($P$46=1,"- Latitude; ","  ")</f>
        <v xml:space="preserve">- Latitude; </v>
      </c>
      <c r="R46" s="94"/>
      <c r="S46" s="95"/>
    </row>
    <row r="47" spans="3:19" ht="53.25" customHeight="1" x14ac:dyDescent="0.25">
      <c r="C47" s="303"/>
      <c r="D47" s="219" t="s">
        <v>1208</v>
      </c>
      <c r="E47" s="220"/>
      <c r="F47" s="306"/>
      <c r="G47" s="306"/>
      <c r="H47" s="307"/>
      <c r="I47" s="85"/>
      <c r="J47" s="97" t="s">
        <v>1059</v>
      </c>
      <c r="K47" s="98" t="s">
        <v>1325</v>
      </c>
      <c r="L47" s="217"/>
      <c r="N47" s="89"/>
      <c r="O47" s="89"/>
      <c r="P47" s="90">
        <f>IF(ISBLANK($F$47),$Q$18,$P$18)</f>
        <v>1</v>
      </c>
      <c r="Q47" s="93" t="str">
        <f>IF($P$47=1,"- Longitude; ","  ")</f>
        <v xml:space="preserve">- Longitude; </v>
      </c>
      <c r="R47" s="94"/>
      <c r="S47" s="95"/>
    </row>
    <row r="48" spans="3:19" ht="55.5" customHeight="1" x14ac:dyDescent="0.25">
      <c r="C48" s="266" t="s">
        <v>8</v>
      </c>
      <c r="D48" s="267"/>
      <c r="E48" s="268"/>
      <c r="F48" s="291"/>
      <c r="G48" s="292"/>
      <c r="H48" s="293"/>
      <c r="I48" s="85"/>
      <c r="J48" s="96" t="s">
        <v>1060</v>
      </c>
      <c r="K48" s="136" t="s">
        <v>1235</v>
      </c>
      <c r="L48" s="148"/>
      <c r="N48" s="89"/>
      <c r="O48" s="89"/>
      <c r="P48" s="90">
        <f>IF(ISBLANK($F$48),$Q$18,$P$18)</f>
        <v>1</v>
      </c>
      <c r="Q48" s="93" t="str">
        <f>IF($P$48=1,"- UPGRH; ","  ")</f>
        <v xml:space="preserve">- UPGRH; </v>
      </c>
      <c r="R48" s="94"/>
      <c r="S48" s="95"/>
    </row>
    <row r="49" spans="1:19" ht="34.5" hidden="1" customHeight="1" x14ac:dyDescent="0.25">
      <c r="C49" s="280" t="s">
        <v>1148</v>
      </c>
      <c r="D49" s="225"/>
      <c r="E49" s="225"/>
      <c r="F49" s="274"/>
      <c r="G49" s="274"/>
      <c r="H49" s="275"/>
      <c r="I49" s="85"/>
      <c r="J49" s="96" t="s">
        <v>1060</v>
      </c>
      <c r="K49" s="136" t="s">
        <v>1187</v>
      </c>
      <c r="L49" s="137"/>
      <c r="N49" s="89"/>
      <c r="O49" s="89"/>
      <c r="P49" s="90">
        <f>IF(ISBLANK(F49),$Q$18,$P$18)</f>
        <v>1</v>
      </c>
      <c r="Q49" s="93" t="str">
        <f t="shared" ref="Q49:Q55" si="0">IF(P49=1,"- Nome fantasia; ","  ")</f>
        <v xml:space="preserve">- Nome fantasia; </v>
      </c>
      <c r="R49" s="94"/>
      <c r="S49" s="95"/>
    </row>
    <row r="50" spans="1:19" ht="34.5" hidden="1" customHeight="1" x14ac:dyDescent="0.25">
      <c r="C50" s="280" t="s">
        <v>1147</v>
      </c>
      <c r="D50" s="225"/>
      <c r="E50" s="225"/>
      <c r="F50" s="274"/>
      <c r="G50" s="274"/>
      <c r="H50" s="275"/>
      <c r="I50" s="99"/>
      <c r="J50" s="100" t="s">
        <v>1060</v>
      </c>
      <c r="K50" s="146" t="s">
        <v>1186</v>
      </c>
      <c r="L50" s="147"/>
      <c r="N50" s="89"/>
      <c r="O50" s="89"/>
      <c r="P50" s="90">
        <f>IF(ISBLANK(F50),$Q$18,$P$18)</f>
        <v>1</v>
      </c>
      <c r="Q50" s="93" t="str">
        <f t="shared" si="0"/>
        <v xml:space="preserve">- Nome fantasia; </v>
      </c>
      <c r="R50" s="94"/>
      <c r="S50" s="95"/>
    </row>
    <row r="51" spans="1:19" ht="58.5" customHeight="1" x14ac:dyDescent="0.25">
      <c r="C51" s="312" t="s">
        <v>1260</v>
      </c>
      <c r="D51" s="289" t="s">
        <v>1259</v>
      </c>
      <c r="E51" s="290"/>
      <c r="F51" s="172"/>
      <c r="G51" s="172"/>
      <c r="H51" s="173"/>
      <c r="I51" s="85"/>
      <c r="J51" s="96" t="s">
        <v>1060</v>
      </c>
      <c r="K51" s="136" t="s">
        <v>1256</v>
      </c>
      <c r="L51" s="137"/>
      <c r="N51" s="89"/>
      <c r="O51" s="89"/>
      <c r="P51" s="90">
        <f>IF(ISBLANK($F$51),$Q$18,$P$18)</f>
        <v>1</v>
      </c>
      <c r="Q51" s="93" t="str">
        <f>IF($P$51=1,"- Uso principal da barragem; ","  ")</f>
        <v xml:space="preserve">- Uso principal da barragem; </v>
      </c>
      <c r="R51" s="94"/>
      <c r="S51" s="95"/>
    </row>
    <row r="52" spans="1:19" ht="58.5" customHeight="1" x14ac:dyDescent="0.25">
      <c r="C52" s="234"/>
      <c r="D52" s="314" t="s">
        <v>1274</v>
      </c>
      <c r="E52" s="315"/>
      <c r="F52" s="174"/>
      <c r="G52" s="175"/>
      <c r="H52" s="176"/>
      <c r="I52" s="85"/>
      <c r="J52" s="96" t="s">
        <v>1060</v>
      </c>
      <c r="K52" s="146" t="s">
        <v>1257</v>
      </c>
      <c r="L52" s="147"/>
      <c r="N52" s="89"/>
      <c r="O52" s="89"/>
      <c r="P52" s="90"/>
      <c r="Q52" s="93"/>
      <c r="R52" s="94"/>
      <c r="S52" s="95"/>
    </row>
    <row r="53" spans="1:19" ht="53.25" customHeight="1" x14ac:dyDescent="0.25">
      <c r="C53" s="177" t="s">
        <v>1261</v>
      </c>
      <c r="D53" s="289" t="s">
        <v>1259</v>
      </c>
      <c r="E53" s="290"/>
      <c r="F53" s="192"/>
      <c r="G53" s="192"/>
      <c r="H53" s="193"/>
      <c r="I53" s="85"/>
      <c r="J53" s="96" t="s">
        <v>1060</v>
      </c>
      <c r="K53" s="136" t="s">
        <v>1435</v>
      </c>
      <c r="L53" s="137"/>
      <c r="N53" s="89"/>
      <c r="O53" s="89"/>
      <c r="P53" s="90">
        <f>IF(ISBLANK($F$53),$Q$18,$P$18)</f>
        <v>1</v>
      </c>
      <c r="Q53" s="93"/>
      <c r="R53" s="94"/>
      <c r="S53" s="95"/>
    </row>
    <row r="54" spans="1:19" ht="53.25" customHeight="1" x14ac:dyDescent="0.25">
      <c r="C54" s="177"/>
      <c r="D54" s="314" t="s">
        <v>1274</v>
      </c>
      <c r="E54" s="315"/>
      <c r="F54" s="174"/>
      <c r="G54" s="175"/>
      <c r="H54" s="176"/>
      <c r="I54" s="85"/>
      <c r="J54" s="96"/>
      <c r="K54" s="146" t="s">
        <v>1258</v>
      </c>
      <c r="L54" s="147"/>
      <c r="N54" s="89"/>
      <c r="O54" s="89"/>
      <c r="P54" s="90"/>
      <c r="Q54" s="93"/>
      <c r="R54" s="94"/>
      <c r="S54" s="95"/>
    </row>
    <row r="55" spans="1:19" ht="15.75" hidden="1" customHeight="1" x14ac:dyDescent="0.25">
      <c r="C55" s="319" t="s">
        <v>1150</v>
      </c>
      <c r="D55" s="320"/>
      <c r="E55" s="320"/>
      <c r="F55" s="192"/>
      <c r="G55" s="192"/>
      <c r="H55" s="193"/>
      <c r="I55" s="85"/>
      <c r="J55" s="96" t="s">
        <v>1060</v>
      </c>
      <c r="K55" s="144" t="s">
        <v>1190</v>
      </c>
      <c r="L55" s="145"/>
      <c r="N55" s="89"/>
      <c r="O55" s="89"/>
      <c r="P55" s="90">
        <f t="shared" ref="P55" si="1">IF(ISBLANK(F55),$Q$18,$P$18)</f>
        <v>1</v>
      </c>
      <c r="Q55" s="93" t="str">
        <f t="shared" si="0"/>
        <v xml:space="preserve">- Nome fantasia; </v>
      </c>
      <c r="R55" s="94"/>
      <c r="S55" s="95"/>
    </row>
    <row r="56" spans="1:19" x14ac:dyDescent="0.25">
      <c r="C56" s="280" t="s">
        <v>1151</v>
      </c>
      <c r="D56" s="225"/>
      <c r="E56" s="225"/>
      <c r="F56" s="317"/>
      <c r="G56" s="317"/>
      <c r="H56" s="318"/>
      <c r="I56" s="85"/>
      <c r="J56" s="96" t="s">
        <v>1229</v>
      </c>
      <c r="K56" s="136" t="s">
        <v>1264</v>
      </c>
      <c r="L56" s="137"/>
      <c r="N56" s="89"/>
      <c r="O56" s="89"/>
      <c r="P56" s="90">
        <f>IF(ISBLANK($F$56),$Q$18,$P$18)</f>
        <v>1</v>
      </c>
      <c r="Q56" s="93" t="str">
        <f>IF($P$56=1,"- Data início construção; ","  ")</f>
        <v xml:space="preserve">- Data início construção; </v>
      </c>
      <c r="R56" s="94"/>
      <c r="S56" s="95"/>
    </row>
    <row r="57" spans="1:19" x14ac:dyDescent="0.25">
      <c r="C57" s="280" t="s">
        <v>1152</v>
      </c>
      <c r="D57" s="225"/>
      <c r="E57" s="225"/>
      <c r="F57" s="317"/>
      <c r="G57" s="317"/>
      <c r="H57" s="318"/>
      <c r="I57" s="85"/>
      <c r="J57" s="96" t="s">
        <v>1229</v>
      </c>
      <c r="K57" s="136" t="s">
        <v>1265</v>
      </c>
      <c r="L57" s="137"/>
      <c r="N57" s="89"/>
      <c r="O57" s="89"/>
      <c r="P57" s="90">
        <f>IF(ISBLANK($F$57),$Q$18,$P$18)</f>
        <v>1</v>
      </c>
      <c r="Q57" s="93" t="str">
        <f>IF($P$57=1,"- Data fim da construção; ","  ")</f>
        <v xml:space="preserve">- Data fim da construção; </v>
      </c>
      <c r="R57" s="94"/>
      <c r="S57" s="95"/>
    </row>
    <row r="58" spans="1:19" ht="15.75" customHeight="1" x14ac:dyDescent="0.25">
      <c r="C58" s="319" t="s">
        <v>1263</v>
      </c>
      <c r="D58" s="320"/>
      <c r="E58" s="320"/>
      <c r="F58" s="192"/>
      <c r="G58" s="192"/>
      <c r="H58" s="193"/>
      <c r="I58" s="85"/>
      <c r="J58" s="96" t="s">
        <v>1060</v>
      </c>
      <c r="K58" s="136" t="s">
        <v>1068</v>
      </c>
      <c r="L58" s="137"/>
      <c r="N58" s="89"/>
      <c r="O58" s="89"/>
      <c r="P58" s="90">
        <f>IF(ISBLANK($F$58),$Q$18,$P$18)</f>
        <v>1</v>
      </c>
      <c r="Q58" s="93" t="str">
        <f>IF($P$58=1,"- Situação da barragem; ","  ")</f>
        <v xml:space="preserve">- Situação da barragem; </v>
      </c>
      <c r="R58" s="94"/>
      <c r="S58" s="95"/>
    </row>
    <row r="59" spans="1:19" ht="15.75" customHeight="1" x14ac:dyDescent="0.25">
      <c r="C59" s="177" t="s">
        <v>9</v>
      </c>
      <c r="D59" s="178"/>
      <c r="E59" s="178"/>
      <c r="F59" s="317"/>
      <c r="G59" s="317"/>
      <c r="H59" s="318"/>
      <c r="I59" s="85"/>
      <c r="J59" s="96" t="s">
        <v>1229</v>
      </c>
      <c r="K59" s="136" t="s">
        <v>1266</v>
      </c>
      <c r="L59" s="137"/>
      <c r="N59" s="89"/>
      <c r="O59" s="89"/>
      <c r="P59" s="90">
        <f>IF(ISBLANK($F$59),$Q$18,$P$18)</f>
        <v>1</v>
      </c>
      <c r="Q59" s="93"/>
      <c r="R59" s="94"/>
      <c r="S59" s="95"/>
    </row>
    <row r="60" spans="1:19" x14ac:dyDescent="0.25">
      <c r="C60" s="319" t="s">
        <v>1273</v>
      </c>
      <c r="D60" s="320"/>
      <c r="E60" s="320"/>
      <c r="F60" s="192"/>
      <c r="G60" s="192"/>
      <c r="H60" s="193"/>
      <c r="I60" s="85"/>
      <c r="J60" s="96" t="s">
        <v>1067</v>
      </c>
      <c r="K60" s="136" t="s">
        <v>1069</v>
      </c>
      <c r="L60" s="137"/>
      <c r="N60" s="89"/>
      <c r="O60" s="89"/>
      <c r="P60" s="90">
        <f>IF(ISBLANK($F$60),$Q$18,$P$18)</f>
        <v>1</v>
      </c>
      <c r="Q60" s="93" t="str">
        <f>IF($P$60=1,"- Possui projeto básico?; ","  ")</f>
        <v xml:space="preserve">- Possui projeto básico?; </v>
      </c>
      <c r="R60" s="94"/>
      <c r="S60" s="95"/>
    </row>
    <row r="61" spans="1:19" x14ac:dyDescent="0.25">
      <c r="C61" s="280" t="s">
        <v>1272</v>
      </c>
      <c r="D61" s="225"/>
      <c r="E61" s="225"/>
      <c r="F61" s="192"/>
      <c r="G61" s="192"/>
      <c r="H61" s="193"/>
      <c r="I61" s="85"/>
      <c r="J61" s="96" t="s">
        <v>1067</v>
      </c>
      <c r="K61" s="136" t="s">
        <v>1070</v>
      </c>
      <c r="L61" s="137"/>
      <c r="N61" s="89"/>
      <c r="O61" s="89"/>
      <c r="P61" s="90">
        <f>IF(ISBLANK($F$61),$Q$18,$P$18)</f>
        <v>1</v>
      </c>
      <c r="Q61" s="93" t="str">
        <f>IF($P$61=1,"- Possui projeto Executivo?; ","  ")</f>
        <v xml:space="preserve">- Possui projeto Executivo?; </v>
      </c>
      <c r="R61" s="94"/>
      <c r="S61" s="95"/>
    </row>
    <row r="62" spans="1:19" ht="32.25" customHeight="1" x14ac:dyDescent="0.25">
      <c r="C62" s="177" t="s">
        <v>1271</v>
      </c>
      <c r="D62" s="178"/>
      <c r="E62" s="178"/>
      <c r="F62" s="192"/>
      <c r="G62" s="192"/>
      <c r="H62" s="193"/>
      <c r="I62" s="85"/>
      <c r="J62" s="96" t="s">
        <v>1067</v>
      </c>
      <c r="K62" s="136" t="s">
        <v>1212</v>
      </c>
      <c r="L62" s="137"/>
      <c r="N62" s="89"/>
      <c r="O62" s="89"/>
      <c r="P62" s="90">
        <f>IF(ISBLANK($F$62),$Q$18,$P$18)</f>
        <v>1</v>
      </c>
      <c r="Q62" s="93" t="str">
        <f>IF($P$62=1,"- Possui projeto de como construído - As Build?; ","  ")</f>
        <v xml:space="preserve">- Possui projeto de como construído - As Build?; </v>
      </c>
      <c r="R62" s="94"/>
      <c r="S62" s="95"/>
    </row>
    <row r="63" spans="1:19" ht="32.25" customHeight="1" x14ac:dyDescent="0.25">
      <c r="C63" s="177" t="s">
        <v>1279</v>
      </c>
      <c r="D63" s="316" t="s">
        <v>1276</v>
      </c>
      <c r="E63" s="268"/>
      <c r="F63" s="192"/>
      <c r="G63" s="192"/>
      <c r="H63" s="193"/>
      <c r="I63" s="85"/>
      <c r="J63" s="96" t="s">
        <v>1067</v>
      </c>
      <c r="K63" s="136" t="s">
        <v>1287</v>
      </c>
      <c r="L63" s="137"/>
      <c r="N63" s="89"/>
      <c r="O63" s="89"/>
      <c r="P63" s="90">
        <f>IF(ISBLANK($F$63),$Q$18,$P$18)</f>
        <v>1</v>
      </c>
      <c r="Q63" s="93" t="str">
        <f>IF($P$63=1,"- Sistema extravasor de emergência; ","  ")</f>
        <v xml:space="preserve">- Sistema extravasor de emergência; </v>
      </c>
      <c r="R63" s="94"/>
      <c r="S63" s="95"/>
    </row>
    <row r="64" spans="1:19" ht="32.25" customHeight="1" x14ac:dyDescent="0.25">
      <c r="A64" s="101"/>
      <c r="B64" s="101"/>
      <c r="C64" s="177"/>
      <c r="D64" s="316" t="s">
        <v>1275</v>
      </c>
      <c r="E64" s="268"/>
      <c r="F64" s="174"/>
      <c r="G64" s="175"/>
      <c r="H64" s="176"/>
      <c r="I64" s="85"/>
      <c r="J64" s="96" t="s">
        <v>1060</v>
      </c>
      <c r="K64" s="136" t="s">
        <v>1288</v>
      </c>
      <c r="L64" s="137"/>
      <c r="N64" s="89"/>
      <c r="O64" s="89"/>
      <c r="P64" s="90"/>
      <c r="Q64" s="93" t="str">
        <f>IF($P$64=1,"- Nome fantasia; ","  ")</f>
        <v xml:space="preserve">  </v>
      </c>
      <c r="R64" s="94"/>
      <c r="S64" s="95"/>
    </row>
    <row r="65" spans="3:19" ht="41.25" customHeight="1" x14ac:dyDescent="0.25">
      <c r="C65" s="177" t="s">
        <v>1209</v>
      </c>
      <c r="D65" s="178"/>
      <c r="E65" s="178"/>
      <c r="F65" s="172"/>
      <c r="G65" s="172"/>
      <c r="H65" s="173"/>
      <c r="I65" s="85"/>
      <c r="J65" s="96" t="s">
        <v>1060</v>
      </c>
      <c r="K65" s="136" t="s">
        <v>1346</v>
      </c>
      <c r="L65" s="137"/>
      <c r="N65" s="89">
        <f>$F$65</f>
        <v>0</v>
      </c>
      <c r="O65" s="89">
        <f>$F$65</f>
        <v>0</v>
      </c>
      <c r="P65" s="90">
        <f>IF(ISBLANK($F$65),$Q$18,$P$18)</f>
        <v>1</v>
      </c>
      <c r="Q65" s="365" t="str">
        <f>IF($P$65=1,"- Critério para vazão de projeto do vertedor ou estrutura extravasora; ","  ")</f>
        <v xml:space="preserve">- Critério para vazão de projeto do vertedor ou estrutura extravasora; </v>
      </c>
      <c r="R65" s="366"/>
      <c r="S65" s="367"/>
    </row>
    <row r="66" spans="3:19" ht="36.75" customHeight="1" x14ac:dyDescent="0.25">
      <c r="C66" s="177" t="s">
        <v>1211</v>
      </c>
      <c r="D66" s="178"/>
      <c r="E66" s="178"/>
      <c r="F66" s="194"/>
      <c r="G66" s="194"/>
      <c r="H66" s="195"/>
      <c r="I66" s="85"/>
      <c r="J66" s="96" t="s">
        <v>1059</v>
      </c>
      <c r="K66" s="146" t="s">
        <v>1327</v>
      </c>
      <c r="L66" s="147"/>
      <c r="N66" s="89"/>
      <c r="O66" s="89"/>
      <c r="P66" s="90">
        <f>IF(ISBLANK($F$66),$Q$18,$P$18)</f>
        <v>1</v>
      </c>
      <c r="Q66" s="93" t="str">
        <f>IF($P$66=1,"- Vazão projeto extravasor; ","  ")</f>
        <v xml:space="preserve">- Vazão projeto extravasor; </v>
      </c>
      <c r="R66" s="94"/>
      <c r="S66" s="95"/>
    </row>
    <row r="67" spans="3:19" ht="27" customHeight="1" x14ac:dyDescent="0.25">
      <c r="C67" s="177" t="s">
        <v>1321</v>
      </c>
      <c r="D67" s="178"/>
      <c r="E67" s="178"/>
      <c r="F67" s="192"/>
      <c r="G67" s="192"/>
      <c r="H67" s="193"/>
      <c r="I67" s="85"/>
      <c r="J67" s="96" t="s">
        <v>1060</v>
      </c>
      <c r="K67" s="136" t="s">
        <v>1328</v>
      </c>
      <c r="L67" s="137"/>
      <c r="N67" s="89"/>
      <c r="O67" s="89"/>
      <c r="P67" s="90">
        <f>IF(ISBLANK($F$67),$Q$18,$P$18)</f>
        <v>1</v>
      </c>
      <c r="Q67" s="93" t="str">
        <f>IF($P$67=1,"- Controle do extravasor; ","  ")</f>
        <v xml:space="preserve">- Controle do extravasor; </v>
      </c>
      <c r="R67" s="94"/>
      <c r="S67" s="95"/>
    </row>
    <row r="68" spans="3:19" ht="35.25" customHeight="1" x14ac:dyDescent="0.25">
      <c r="C68" s="177" t="s">
        <v>1153</v>
      </c>
      <c r="D68" s="178"/>
      <c r="E68" s="178"/>
      <c r="F68" s="194"/>
      <c r="G68" s="194"/>
      <c r="H68" s="195"/>
      <c r="I68" s="85"/>
      <c r="J68" s="96" t="s">
        <v>1059</v>
      </c>
      <c r="K68" s="146" t="s">
        <v>1323</v>
      </c>
      <c r="L68" s="147"/>
      <c r="N68" s="102">
        <f>($F$68/100)</f>
        <v>0</v>
      </c>
      <c r="O68" s="103" t="str">
        <f>IF($N$68&lt;=15,"ALTURA&lt;=15",IF(AND($N$68&gt;15,$N$68&lt;30),"15&lt;ALTURA&lt;30",IF(AND($N$68&gt;=30,$N$68&lt;=60),"30&lt;=ALTURA&lt;=60",IF($N$68&gt;60,"ALTURA&gt;60","FALSO"))))</f>
        <v>ALTURA&lt;=15</v>
      </c>
      <c r="P68" s="90">
        <f>IF(ISBLANK($F$68),$Q$18,$P$18)</f>
        <v>1</v>
      </c>
      <c r="Q68" s="93" t="str">
        <f>IF($P$68=1,"- Altura  máxima do maciço acima da base da fundação; ","  ")</f>
        <v xml:space="preserve">- Altura  máxima do maciço acima da base da fundação; </v>
      </c>
      <c r="R68" s="94"/>
      <c r="S68" s="95"/>
    </row>
    <row r="69" spans="3:19" ht="33.75" customHeight="1" x14ac:dyDescent="0.25">
      <c r="C69" s="177" t="s">
        <v>1154</v>
      </c>
      <c r="D69" s="178"/>
      <c r="E69" s="178"/>
      <c r="F69" s="194"/>
      <c r="G69" s="194"/>
      <c r="H69" s="195"/>
      <c r="I69" s="85"/>
      <c r="J69" s="96" t="s">
        <v>1059</v>
      </c>
      <c r="K69" s="146" t="s">
        <v>1326</v>
      </c>
      <c r="L69" s="147"/>
      <c r="N69" s="89"/>
      <c r="O69" s="89"/>
      <c r="P69" s="90">
        <f>IF(ISBLANK($F$69),$Q$18,$P$18)</f>
        <v>1</v>
      </c>
      <c r="Q69" s="93" t="str">
        <f>IF($P$69=1,"- Altura máxima do maciço acima do nível do terreno; ","  ")</f>
        <v xml:space="preserve">- Altura máxima do maciço acima do nível do terreno; </v>
      </c>
      <c r="R69" s="94"/>
      <c r="S69" s="95"/>
    </row>
    <row r="70" spans="3:19" ht="36" customHeight="1" x14ac:dyDescent="0.25">
      <c r="C70" s="177" t="s">
        <v>1332</v>
      </c>
      <c r="D70" s="178"/>
      <c r="E70" s="178"/>
      <c r="F70" s="194"/>
      <c r="G70" s="194"/>
      <c r="H70" s="195"/>
      <c r="I70" s="85"/>
      <c r="J70" s="96" t="s">
        <v>1059</v>
      </c>
      <c r="K70" s="136" t="s">
        <v>1322</v>
      </c>
      <c r="L70" s="137"/>
      <c r="N70" s="102">
        <f>($F$70/100)</f>
        <v>0</v>
      </c>
      <c r="O70" s="89" t="str">
        <f>IF($N$70&lt;=200,"COMPRIMENTO&lt;=200","COMPRIMENTO&gt;200")</f>
        <v>COMPRIMENTO&lt;=200</v>
      </c>
      <c r="P70" s="90">
        <f>IF(ISBLANK($F$70),$Q$18,$P$18)</f>
        <v>1</v>
      </c>
      <c r="Q70" s="93" t="str">
        <f>IF($P$70=1,"- Comprimento do coroamento da barragem; ","  ")</f>
        <v xml:space="preserve">- Comprimento do coroamento da barragem; </v>
      </c>
      <c r="R70" s="94"/>
      <c r="S70" s="95"/>
    </row>
    <row r="71" spans="3:19" ht="36" customHeight="1" x14ac:dyDescent="0.25">
      <c r="C71" s="177" t="s">
        <v>12</v>
      </c>
      <c r="D71" s="178"/>
      <c r="E71" s="178"/>
      <c r="F71" s="194"/>
      <c r="G71" s="194"/>
      <c r="H71" s="195"/>
      <c r="I71" s="85"/>
      <c r="J71" s="96" t="s">
        <v>1059</v>
      </c>
      <c r="K71" s="136" t="s">
        <v>1333</v>
      </c>
      <c r="L71" s="137"/>
      <c r="N71" s="89"/>
      <c r="O71" s="89"/>
      <c r="P71" s="90">
        <f>IF(ISBLANK($F$71),$Q$18,$P$18)</f>
        <v>1</v>
      </c>
      <c r="Q71" s="93" t="str">
        <f>IF($P$71=1,"- Largura do coroamento; ","  ")</f>
        <v xml:space="preserve">- Largura do coroamento; </v>
      </c>
      <c r="R71" s="94"/>
      <c r="S71" s="95"/>
    </row>
    <row r="72" spans="3:19" ht="32.25" customHeight="1" x14ac:dyDescent="0.25">
      <c r="C72" s="177" t="s">
        <v>1210</v>
      </c>
      <c r="D72" s="178"/>
      <c r="E72" s="178"/>
      <c r="F72" s="206"/>
      <c r="G72" s="206"/>
      <c r="H72" s="207"/>
      <c r="I72" s="85"/>
      <c r="J72" s="96" t="s">
        <v>1059</v>
      </c>
      <c r="K72" s="136" t="s">
        <v>1330</v>
      </c>
      <c r="L72" s="137"/>
      <c r="N72" s="104">
        <f>$F$72</f>
        <v>0</v>
      </c>
      <c r="O72" s="103" t="str">
        <f>IF($N$72&lt;=5000000,"PEQUENO &lt; = 5 MILHÕES m3",IF(AND($N$72&gt;5000000,$N$72&lt;=75000000),"MÉDIO 5 MILHÕES A 75 MILHÕES m3",IF(AND($N$72&gt;75000000,$N$72&lt;=200000000),"GRANDE 75 MILHÕES A 200 MILHÕES m3",IF($N$72&gt;200000000,"MUITO GRANDE &gt; 200 MILHÕES m3","FALSO"))))</f>
        <v>PEQUENO &lt; = 5 MILHÕES m3</v>
      </c>
      <c r="P72" s="90">
        <f>IF(ISBLANK($F$72),$Q$18,$P$18)</f>
        <v>1</v>
      </c>
      <c r="Q72" s="93" t="str">
        <f>IF($P$72=1,"- Volume total do reservatório; ","  ")</f>
        <v xml:space="preserve">- Volume total do reservatório; </v>
      </c>
      <c r="R72" s="94"/>
      <c r="S72" s="95"/>
    </row>
    <row r="73" spans="3:19" ht="32.25" customHeight="1" x14ac:dyDescent="0.25">
      <c r="C73" s="177" t="s">
        <v>1329</v>
      </c>
      <c r="D73" s="178"/>
      <c r="E73" s="178"/>
      <c r="F73" s="206"/>
      <c r="G73" s="206"/>
      <c r="H73" s="207"/>
      <c r="I73" s="85"/>
      <c r="J73" s="96" t="s">
        <v>1059</v>
      </c>
      <c r="K73" s="136" t="s">
        <v>1331</v>
      </c>
      <c r="L73" s="137"/>
      <c r="N73" s="89"/>
      <c r="O73" s="89"/>
      <c r="P73" s="90">
        <f>IF(ISBLANK($F$73),$Q$18,$P$18)</f>
        <v>1</v>
      </c>
      <c r="Q73" s="93" t="str">
        <f>IF($P$73=1,"- Comprimento do reservatório; ","  ")</f>
        <v xml:space="preserve">- Comprimento do reservatório; </v>
      </c>
      <c r="R73" s="94"/>
      <c r="S73" s="95"/>
    </row>
    <row r="74" spans="3:19" ht="54.75" customHeight="1" x14ac:dyDescent="0.25">
      <c r="C74" s="177" t="s">
        <v>1155</v>
      </c>
      <c r="D74" s="178"/>
      <c r="E74" s="178"/>
      <c r="F74" s="325"/>
      <c r="G74" s="326"/>
      <c r="H74" s="327"/>
      <c r="I74" s="85"/>
      <c r="J74" s="96" t="s">
        <v>1060</v>
      </c>
      <c r="K74" s="136" t="s">
        <v>1334</v>
      </c>
      <c r="L74" s="137"/>
      <c r="N74" s="89"/>
      <c r="O74" s="89">
        <f>$F$74</f>
        <v>0</v>
      </c>
      <c r="P74" s="90">
        <f>IF(ISBLANK($F$74),$Q$18,$P$18)</f>
        <v>1</v>
      </c>
      <c r="Q74" s="93" t="str">
        <f>IF($P$74=1,"- Tipo de barragem quanto ao material de construção; ","  ")</f>
        <v xml:space="preserve">- Tipo de barragem quanto ao material de construção; </v>
      </c>
      <c r="R74" s="94"/>
      <c r="S74" s="95"/>
    </row>
    <row r="75" spans="3:19" ht="35.25" customHeight="1" x14ac:dyDescent="0.25">
      <c r="C75" s="266" t="s">
        <v>11</v>
      </c>
      <c r="D75" s="267"/>
      <c r="E75" s="268"/>
      <c r="F75" s="192"/>
      <c r="G75" s="192"/>
      <c r="H75" s="193"/>
      <c r="I75" s="85"/>
      <c r="J75" s="96" t="s">
        <v>1060</v>
      </c>
      <c r="K75" s="136" t="s">
        <v>1335</v>
      </c>
      <c r="L75" s="137"/>
      <c r="N75" s="89"/>
      <c r="O75" s="89"/>
      <c r="P75" s="90">
        <f>IF(ISBLANK($F$75),$Q$18,$P$18)</f>
        <v>1</v>
      </c>
      <c r="Q75" s="93" t="str">
        <f>IF($P$75=1,"- Tipo estrutural; ","  ")</f>
        <v xml:space="preserve">- Tipo estrutural; </v>
      </c>
      <c r="R75" s="94"/>
      <c r="S75" s="95"/>
    </row>
    <row r="76" spans="3:19" ht="19.5" customHeight="1" x14ac:dyDescent="0.25">
      <c r="C76" s="266" t="s">
        <v>17</v>
      </c>
      <c r="D76" s="267"/>
      <c r="E76" s="268"/>
      <c r="F76" s="328"/>
      <c r="G76" s="328"/>
      <c r="H76" s="329"/>
      <c r="I76" s="85"/>
      <c r="J76" s="96" t="s">
        <v>1060</v>
      </c>
      <c r="K76" s="136" t="s">
        <v>1191</v>
      </c>
      <c r="L76" s="137"/>
      <c r="N76" s="89"/>
      <c r="O76" s="89">
        <f>$F$76</f>
        <v>0</v>
      </c>
      <c r="P76" s="90">
        <f>IF(ISBLANK($F$76),$Q$18,$P$18)</f>
        <v>1</v>
      </c>
      <c r="Q76" s="93" t="str">
        <f>IF($P$76=1,"- Tipo de fundação; ","  ")</f>
        <v xml:space="preserve">- Tipo de fundação; </v>
      </c>
      <c r="R76" s="94"/>
      <c r="S76" s="95"/>
    </row>
    <row r="77" spans="3:19" ht="22.5" customHeight="1" thickBot="1" x14ac:dyDescent="0.3">
      <c r="C77" s="208" t="s">
        <v>1213</v>
      </c>
      <c r="D77" s="209"/>
      <c r="E77" s="210"/>
      <c r="F77" s="211"/>
      <c r="G77" s="211"/>
      <c r="H77" s="212"/>
      <c r="I77" s="85"/>
      <c r="J77" s="96" t="s">
        <v>1059</v>
      </c>
      <c r="K77" s="136" t="s">
        <v>1072</v>
      </c>
      <c r="L77" s="137"/>
      <c r="N77" s="105">
        <f>$F$77</f>
        <v>0</v>
      </c>
      <c r="O77" s="106" t="str">
        <f>IF($N$77=0,"SEM INFORMAÇÃO",IF($N$77&lt;5,"&lt; 5 ANOS ",IF(AND($N$77&gt;=5,$N$77&lt;10),"ENTRE 5 E 10 ANOS",IF(AND($N$77&gt;=10,$N$77&lt;30),"ENTRE 10 E 30 ANOS ",IF(AND($N$77&gt;=30,$N$77&lt;=50),"ENTRE 30 E 50 ANOS",IF($N$77&gt;60,"&gt; 50 ANOS","&gt; 50 ANOS "))))))</f>
        <v>SEM INFORMAÇÃO</v>
      </c>
      <c r="P77" s="90">
        <f>IF(ISBLANK($F$77),$Q$18,$P$18)</f>
        <v>1</v>
      </c>
      <c r="Q77" s="93" t="str">
        <f>IF($P$77=1,"- Idade da barragem; ","  ")</f>
        <v xml:space="preserve">- Idade da barragem; </v>
      </c>
      <c r="R77" s="94"/>
      <c r="S77" s="95"/>
    </row>
    <row r="78" spans="3:19" ht="15.75" customHeight="1" thickBot="1" x14ac:dyDescent="0.3">
      <c r="C78" s="213" t="s">
        <v>1077</v>
      </c>
      <c r="D78" s="214"/>
      <c r="E78" s="214"/>
      <c r="F78" s="214"/>
      <c r="G78" s="214"/>
      <c r="H78" s="215"/>
      <c r="I78" s="85"/>
      <c r="J78" s="189" t="s">
        <v>1077</v>
      </c>
      <c r="K78" s="190"/>
      <c r="L78" s="191"/>
      <c r="N78" s="89"/>
      <c r="O78" s="89"/>
      <c r="P78" s="90"/>
      <c r="Q78" s="93"/>
      <c r="R78" s="94"/>
      <c r="S78" s="95"/>
    </row>
    <row r="79" spans="3:19" ht="141" customHeight="1" x14ac:dyDescent="0.25">
      <c r="C79" s="234" t="s">
        <v>21</v>
      </c>
      <c r="D79" s="235"/>
      <c r="E79" s="235"/>
      <c r="F79" s="236"/>
      <c r="G79" s="236"/>
      <c r="H79" s="237"/>
      <c r="I79" s="85"/>
      <c r="J79" s="96" t="s">
        <v>1060</v>
      </c>
      <c r="K79" s="136" t="s">
        <v>1073</v>
      </c>
      <c r="L79" s="137"/>
      <c r="N79" s="89"/>
      <c r="O79" s="125">
        <f>$F$79</f>
        <v>0</v>
      </c>
      <c r="P79" s="90">
        <f>IF(ISBLANK($F$79),$Q$18,$P$18)</f>
        <v>1</v>
      </c>
      <c r="Q79" s="93" t="str">
        <f>IF($P$79=1,"- Confiabilidade das estruturas extravasoras; ","  ")</f>
        <v xml:space="preserve">- Confiabilidade das estruturas extravasoras; </v>
      </c>
      <c r="R79" s="94"/>
      <c r="S79" s="95"/>
    </row>
    <row r="80" spans="3:19" ht="84.75" customHeight="1" x14ac:dyDescent="0.25">
      <c r="C80" s="303" t="s">
        <v>1156</v>
      </c>
      <c r="D80" s="324"/>
      <c r="E80" s="324"/>
      <c r="F80" s="172"/>
      <c r="G80" s="172"/>
      <c r="H80" s="173"/>
      <c r="I80" s="85"/>
      <c r="J80" s="97" t="s">
        <v>1060</v>
      </c>
      <c r="K80" s="136" t="s">
        <v>1192</v>
      </c>
      <c r="L80" s="137"/>
      <c r="N80" s="89"/>
      <c r="O80" s="89">
        <f>$F$80</f>
        <v>0</v>
      </c>
      <c r="P80" s="90">
        <f>IF(ISBLANK($F$80),$Q$18,$P$18)</f>
        <v>1</v>
      </c>
      <c r="Q80" s="93" t="str">
        <f>IF($P$80=1,"- Confiabilidade das estruturas de adução; ","  ")</f>
        <v xml:space="preserve">- Confiabilidade das estruturas de adução; </v>
      </c>
      <c r="R80" s="94"/>
      <c r="S80" s="95"/>
    </row>
    <row r="81" spans="3:19" ht="87" customHeight="1" x14ac:dyDescent="0.25">
      <c r="C81" s="303" t="s">
        <v>18</v>
      </c>
      <c r="D81" s="324"/>
      <c r="E81" s="324"/>
      <c r="F81" s="172"/>
      <c r="G81" s="172"/>
      <c r="H81" s="173"/>
      <c r="I81" s="85"/>
      <c r="J81" s="97" t="s">
        <v>1060</v>
      </c>
      <c r="K81" s="136" t="s">
        <v>1193</v>
      </c>
      <c r="L81" s="137"/>
      <c r="N81" s="89"/>
      <c r="O81" s="89">
        <f>$F$81</f>
        <v>0</v>
      </c>
      <c r="P81" s="90">
        <f>IF(ISBLANK($F$81),$Q$18,$P$18)</f>
        <v>1</v>
      </c>
      <c r="Q81" s="93" t="str">
        <f>IF($P$81=1,"- Percolação; ","  ")</f>
        <v xml:space="preserve">- Percolação; </v>
      </c>
      <c r="R81" s="94"/>
      <c r="S81" s="95"/>
    </row>
    <row r="82" spans="3:19" ht="60.75" customHeight="1" x14ac:dyDescent="0.25">
      <c r="C82" s="303" t="s">
        <v>20</v>
      </c>
      <c r="D82" s="324"/>
      <c r="E82" s="324"/>
      <c r="F82" s="172"/>
      <c r="G82" s="172"/>
      <c r="H82" s="173"/>
      <c r="I82" s="85"/>
      <c r="J82" s="97" t="s">
        <v>1060</v>
      </c>
      <c r="K82" s="136" t="s">
        <v>1075</v>
      </c>
      <c r="L82" s="137"/>
      <c r="N82" s="89"/>
      <c r="O82" s="89">
        <f>$F$82</f>
        <v>0</v>
      </c>
      <c r="P82" s="90">
        <f>IF(ISBLANK($F$82),$Q$18,$P$18)</f>
        <v>1</v>
      </c>
      <c r="Q82" s="93" t="str">
        <f>IF($P$82=1,"- Deformações e recalques; ","  ")</f>
        <v xml:space="preserve">- Deformações e recalques; </v>
      </c>
      <c r="R82" s="94"/>
      <c r="S82" s="95"/>
    </row>
    <row r="83" spans="3:19" ht="91.5" customHeight="1" x14ac:dyDescent="0.25">
      <c r="C83" s="177" t="s">
        <v>1074</v>
      </c>
      <c r="D83" s="178"/>
      <c r="E83" s="178"/>
      <c r="F83" s="172"/>
      <c r="G83" s="172"/>
      <c r="H83" s="173"/>
      <c r="I83" s="85"/>
      <c r="J83" s="97" t="s">
        <v>1060</v>
      </c>
      <c r="K83" s="136" t="s">
        <v>1076</v>
      </c>
      <c r="L83" s="137"/>
      <c r="N83" s="89"/>
      <c r="O83" s="89">
        <f>$F$83</f>
        <v>0</v>
      </c>
      <c r="P83" s="90">
        <f>IF(ISBLANK($F$83),$Q$18,$P$18)</f>
        <v>1</v>
      </c>
      <c r="Q83" s="93" t="str">
        <f>IF($P$83=1,"- Deterioração dos taludes / Paramentos:; ","  ")</f>
        <v xml:space="preserve">- Deterioração dos taludes / Paramentos:; </v>
      </c>
      <c r="R83" s="94"/>
      <c r="S83" s="95"/>
    </row>
    <row r="84" spans="3:19" ht="69.75" customHeight="1" thickBot="1" x14ac:dyDescent="0.3">
      <c r="C84" s="312" t="s">
        <v>1157</v>
      </c>
      <c r="D84" s="321"/>
      <c r="E84" s="321"/>
      <c r="F84" s="322"/>
      <c r="G84" s="322"/>
      <c r="H84" s="323"/>
      <c r="I84" s="85"/>
      <c r="J84" s="97" t="s">
        <v>1060</v>
      </c>
      <c r="K84" s="136" t="s">
        <v>1071</v>
      </c>
      <c r="L84" s="137"/>
      <c r="N84" s="89"/>
      <c r="O84" s="89">
        <f>$F$84</f>
        <v>0</v>
      </c>
      <c r="P84" s="90">
        <f>IF(ISBLANK($F$84),$Q$18,$P$18)</f>
        <v>1</v>
      </c>
      <c r="Q84" s="93" t="str">
        <f>IF($P$84=1,"- Eclusa; ","  ")</f>
        <v xml:space="preserve">- Eclusa; </v>
      </c>
      <c r="R84" s="94"/>
      <c r="S84" s="95"/>
    </row>
    <row r="85" spans="3:19" ht="19.5" customHeight="1" thickBot="1" x14ac:dyDescent="0.3">
      <c r="C85" s="213" t="s">
        <v>1132</v>
      </c>
      <c r="D85" s="214"/>
      <c r="E85" s="214"/>
      <c r="F85" s="214"/>
      <c r="G85" s="214"/>
      <c r="H85" s="215"/>
      <c r="I85" s="85"/>
      <c r="J85" s="189" t="s">
        <v>1132</v>
      </c>
      <c r="K85" s="190"/>
      <c r="L85" s="191"/>
      <c r="N85" s="89"/>
      <c r="O85" s="89"/>
      <c r="P85" s="90"/>
      <c r="Q85" s="93"/>
      <c r="R85" s="94"/>
      <c r="S85" s="95"/>
    </row>
    <row r="86" spans="3:19" ht="31.5" customHeight="1" x14ac:dyDescent="0.25">
      <c r="C86" s="330" t="s">
        <v>1398</v>
      </c>
      <c r="D86" s="331"/>
      <c r="E86" s="331"/>
      <c r="F86" s="236"/>
      <c r="G86" s="236"/>
      <c r="H86" s="237"/>
      <c r="I86" s="85"/>
      <c r="J86" s="96" t="s">
        <v>1060</v>
      </c>
      <c r="K86" s="136" t="s">
        <v>1215</v>
      </c>
      <c r="L86" s="137"/>
      <c r="N86" s="89"/>
      <c r="O86" s="89"/>
      <c r="P86" s="90">
        <f>IF(ISBLANK($F$86),$Q$18,$P$18)</f>
        <v>1</v>
      </c>
      <c r="Q86" s="93" t="str">
        <f>IF($P$86=1,"- Tem Plano de Segurança de Barragem (PSB)?; ","  ")</f>
        <v xml:space="preserve">- Tem Plano de Segurança de Barragem (PSB)?; </v>
      </c>
      <c r="R86" s="94"/>
      <c r="S86" s="95"/>
    </row>
    <row r="87" spans="3:19" ht="29.25" customHeight="1" x14ac:dyDescent="0.25">
      <c r="C87" s="303" t="s">
        <v>1393</v>
      </c>
      <c r="D87" s="324"/>
      <c r="E87" s="324"/>
      <c r="F87" s="172"/>
      <c r="G87" s="172"/>
      <c r="H87" s="173"/>
      <c r="I87" s="85"/>
      <c r="J87" s="96" t="s">
        <v>1060</v>
      </c>
      <c r="K87" s="136" t="s">
        <v>1133</v>
      </c>
      <c r="L87" s="137"/>
      <c r="N87" s="89"/>
      <c r="O87" s="89">
        <f>$F$87</f>
        <v>0</v>
      </c>
      <c r="P87" s="90">
        <f>IF(ISBLANK($F$87),$Q$18,$P$18)</f>
        <v>1</v>
      </c>
      <c r="Q87" s="93" t="str">
        <f>IF($P$87=1,"- Existência de documentação de projeto; ","  ")</f>
        <v xml:space="preserve">- Existência de documentação de projeto; </v>
      </c>
      <c r="R87" s="94"/>
      <c r="S87" s="95"/>
    </row>
    <row r="88" spans="3:19" ht="56.25" customHeight="1" x14ac:dyDescent="0.25">
      <c r="C88" s="303" t="s">
        <v>1158</v>
      </c>
      <c r="D88" s="324"/>
      <c r="E88" s="324"/>
      <c r="F88" s="172"/>
      <c r="G88" s="172"/>
      <c r="H88" s="173"/>
      <c r="I88" s="85"/>
      <c r="J88" s="96" t="s">
        <v>1060</v>
      </c>
      <c r="K88" s="136" t="s">
        <v>1194</v>
      </c>
      <c r="L88" s="137"/>
      <c r="N88" s="89"/>
      <c r="O88" s="89">
        <f>$F$88</f>
        <v>0</v>
      </c>
      <c r="P88" s="90">
        <f>IF(ISBLANK($F$88),$Q$18,$P$18)</f>
        <v>1</v>
      </c>
      <c r="Q88" s="365" t="str">
        <f>IF($P$88=1,"- Estrutura organizacional e qualificação técnica dos profissionais da equipe de Segurança da Barragem; ","  ")</f>
        <v xml:space="preserve">- Estrutura organizacional e qualificação técnica dos profissionais da equipe de Segurança da Barragem; </v>
      </c>
      <c r="R88" s="366"/>
      <c r="S88" s="367"/>
    </row>
    <row r="89" spans="3:19" ht="42" customHeight="1" x14ac:dyDescent="0.25">
      <c r="C89" s="303" t="s">
        <v>1159</v>
      </c>
      <c r="D89" s="324"/>
      <c r="E89" s="324"/>
      <c r="F89" s="172"/>
      <c r="G89" s="172"/>
      <c r="H89" s="173"/>
      <c r="I89" s="85"/>
      <c r="J89" s="96" t="s">
        <v>1060</v>
      </c>
      <c r="K89" s="136" t="s">
        <v>1195</v>
      </c>
      <c r="L89" s="137"/>
      <c r="N89" s="89"/>
      <c r="O89" s="89">
        <f>$F$89</f>
        <v>0</v>
      </c>
      <c r="P89" s="90">
        <f>IF(ISBLANK($F$89),$Q$18,$P$18)</f>
        <v>1</v>
      </c>
      <c r="Q89" s="365" t="str">
        <f>IF($P$89=1,"- Procedimentos de roteiros de inspeções de segurança e de monitoramento; ","  ")</f>
        <v xml:space="preserve">- Procedimentos de roteiros de inspeções de segurança e de monitoramento; </v>
      </c>
      <c r="R89" s="366"/>
      <c r="S89" s="367"/>
    </row>
    <row r="90" spans="3:19" ht="36" customHeight="1" x14ac:dyDescent="0.25">
      <c r="C90" s="303" t="s">
        <v>19</v>
      </c>
      <c r="D90" s="324"/>
      <c r="E90" s="324"/>
      <c r="F90" s="172"/>
      <c r="G90" s="172"/>
      <c r="H90" s="173"/>
      <c r="I90" s="85"/>
      <c r="J90" s="96" t="s">
        <v>1060</v>
      </c>
      <c r="K90" s="136" t="s">
        <v>1196</v>
      </c>
      <c r="L90" s="137"/>
      <c r="N90" s="89"/>
      <c r="O90" s="89">
        <f>$F$90</f>
        <v>0</v>
      </c>
      <c r="P90" s="90">
        <f>IF(ISBLANK($F$90),$Q$18,$P$18)</f>
        <v>1</v>
      </c>
      <c r="Q90" s="365" t="str">
        <f>IF($P$90=1,"- Regra operacional dos dispositivos de descarga da barragem; ","  ")</f>
        <v xml:space="preserve">- Regra operacional dos dispositivos de descarga da barragem; </v>
      </c>
      <c r="R90" s="366"/>
      <c r="S90" s="367"/>
    </row>
    <row r="91" spans="3:19" ht="35.25" customHeight="1" x14ac:dyDescent="0.25">
      <c r="C91" s="303" t="s">
        <v>1160</v>
      </c>
      <c r="D91" s="324"/>
      <c r="E91" s="324"/>
      <c r="F91" s="172"/>
      <c r="G91" s="172"/>
      <c r="H91" s="173"/>
      <c r="I91" s="85"/>
      <c r="J91" s="96" t="s">
        <v>1060</v>
      </c>
      <c r="K91" s="136" t="s">
        <v>1134</v>
      </c>
      <c r="L91" s="137"/>
      <c r="N91" s="89"/>
      <c r="O91" s="89">
        <f>$F$91</f>
        <v>0</v>
      </c>
      <c r="P91" s="90">
        <f>IF(ISBLANK($F$91),$Q$18,$P$18)</f>
        <v>1</v>
      </c>
      <c r="Q91" s="365" t="str">
        <f>IF($P$91=1,"- Relatórios de inspeção de segurança com análise e interpretação; ","  ")</f>
        <v xml:space="preserve">- Relatórios de inspeção de segurança com análise e interpretação; </v>
      </c>
      <c r="R91" s="366"/>
      <c r="S91" s="367"/>
    </row>
    <row r="92" spans="3:19" ht="35.25" customHeight="1" x14ac:dyDescent="0.25">
      <c r="C92" s="266" t="s">
        <v>1161</v>
      </c>
      <c r="D92" s="267"/>
      <c r="E92" s="268"/>
      <c r="F92" s="317"/>
      <c r="G92" s="317"/>
      <c r="H92" s="318"/>
      <c r="I92" s="85"/>
      <c r="J92" s="96" t="s">
        <v>1229</v>
      </c>
      <c r="K92" s="136" t="s">
        <v>1267</v>
      </c>
      <c r="L92" s="137"/>
      <c r="N92" s="89"/>
      <c r="O92" s="89"/>
      <c r="P92" s="90"/>
      <c r="Q92" s="93" t="str">
        <f>IF($P$92=1,"- Data da última inspeção periódica de segurança; ","  ")</f>
        <v xml:space="preserve">  </v>
      </c>
      <c r="R92" s="94"/>
      <c r="S92" s="95"/>
    </row>
    <row r="93" spans="3:19" ht="35.25" customHeight="1" x14ac:dyDescent="0.25">
      <c r="C93" s="177" t="s">
        <v>1162</v>
      </c>
      <c r="D93" s="178"/>
      <c r="E93" s="178"/>
      <c r="F93" s="172"/>
      <c r="G93" s="172"/>
      <c r="H93" s="173"/>
      <c r="I93" s="85"/>
      <c r="J93" s="96" t="s">
        <v>1060</v>
      </c>
      <c r="K93" s="136" t="s">
        <v>1197</v>
      </c>
      <c r="L93" s="137"/>
      <c r="N93" s="89"/>
      <c r="O93" s="89"/>
      <c r="P93" s="90">
        <f>IF(ISBLANK($F$93),$Q$18,$P$18)</f>
        <v>1</v>
      </c>
      <c r="Q93" s="93" t="str">
        <f>IF($P$93=1,"- Tipo da última inspeção; ","  ")</f>
        <v xml:space="preserve">- Tipo da última inspeção; </v>
      </c>
      <c r="R93" s="94"/>
      <c r="S93" s="95"/>
    </row>
    <row r="94" spans="3:19" ht="35.25" customHeight="1" x14ac:dyDescent="0.25">
      <c r="C94" s="177" t="s">
        <v>1163</v>
      </c>
      <c r="D94" s="178"/>
      <c r="E94" s="178"/>
      <c r="F94" s="317"/>
      <c r="G94" s="317"/>
      <c r="H94" s="318"/>
      <c r="I94" s="85"/>
      <c r="J94" s="96" t="s">
        <v>1229</v>
      </c>
      <c r="K94" s="136" t="s">
        <v>1268</v>
      </c>
      <c r="L94" s="137"/>
      <c r="N94" s="89"/>
      <c r="O94" s="89"/>
      <c r="P94" s="90"/>
      <c r="Q94" s="93" t="str">
        <f>IF($P$94=1,"- Data da próxima inspeção periódica de segurança; ","  ")</f>
        <v xml:space="preserve">  </v>
      </c>
      <c r="R94" s="94"/>
      <c r="S94" s="95"/>
    </row>
    <row r="95" spans="3:19" ht="45" customHeight="1" thickBot="1" x14ac:dyDescent="0.3">
      <c r="C95" s="312" t="s">
        <v>1164</v>
      </c>
      <c r="D95" s="321"/>
      <c r="E95" s="321"/>
      <c r="F95" s="322"/>
      <c r="G95" s="322"/>
      <c r="H95" s="323"/>
      <c r="I95" s="85"/>
      <c r="J95" s="96" t="s">
        <v>1060</v>
      </c>
      <c r="K95" s="136" t="s">
        <v>1198</v>
      </c>
      <c r="L95" s="137"/>
      <c r="N95" s="89"/>
      <c r="O95" s="89"/>
      <c r="P95" s="90">
        <f>IF(ISBLANK($F$95),$Q$18,$P$18)</f>
        <v>1</v>
      </c>
      <c r="Q95" s="93" t="str">
        <f>IF($P$95=1,"- Nível de perigo da barragem; ","  ")</f>
        <v xml:space="preserve">- Nível de perigo da barragem; </v>
      </c>
      <c r="R95" s="94"/>
      <c r="S95" s="95"/>
    </row>
    <row r="96" spans="3:19" ht="22.5" customHeight="1" thickBot="1" x14ac:dyDescent="0.3">
      <c r="C96" s="213" t="s">
        <v>1343</v>
      </c>
      <c r="D96" s="214"/>
      <c r="E96" s="214"/>
      <c r="F96" s="214"/>
      <c r="G96" s="214"/>
      <c r="H96" s="215"/>
      <c r="I96" s="85"/>
      <c r="J96" s="189" t="s">
        <v>1135</v>
      </c>
      <c r="K96" s="190"/>
      <c r="L96" s="191"/>
      <c r="N96" s="89"/>
      <c r="O96" s="89"/>
      <c r="P96" s="90"/>
      <c r="Q96" s="93"/>
      <c r="R96" s="94"/>
      <c r="S96" s="95"/>
    </row>
    <row r="97" spans="3:19" ht="120.75" customHeight="1" x14ac:dyDescent="0.25">
      <c r="C97" s="234" t="s">
        <v>1165</v>
      </c>
      <c r="D97" s="235"/>
      <c r="E97" s="235"/>
      <c r="F97" s="236"/>
      <c r="G97" s="236"/>
      <c r="H97" s="237"/>
      <c r="I97" s="85"/>
      <c r="J97" s="96" t="s">
        <v>1060</v>
      </c>
      <c r="K97" s="136" t="s">
        <v>1199</v>
      </c>
      <c r="L97" s="137"/>
      <c r="N97" s="89"/>
      <c r="O97" s="89">
        <f>$F$97</f>
        <v>0</v>
      </c>
      <c r="P97" s="90">
        <f>IF(ISBLANK($F$97),$Q$18,$P$18)</f>
        <v>1</v>
      </c>
      <c r="Q97" s="93" t="str">
        <f>IF($P$97=1,"- Potencial de perdas de vidas humanas; ","  ")</f>
        <v xml:space="preserve">- Potencial de perdas de vidas humanas; </v>
      </c>
      <c r="R97" s="94"/>
      <c r="S97" s="95"/>
    </row>
    <row r="98" spans="3:19" ht="97.5" customHeight="1" x14ac:dyDescent="0.25">
      <c r="C98" s="177" t="s">
        <v>1166</v>
      </c>
      <c r="D98" s="178"/>
      <c r="E98" s="178"/>
      <c r="F98" s="172"/>
      <c r="G98" s="172"/>
      <c r="H98" s="173"/>
      <c r="I98" s="85"/>
      <c r="J98" s="96" t="s">
        <v>1060</v>
      </c>
      <c r="K98" s="136" t="s">
        <v>1136</v>
      </c>
      <c r="L98" s="137"/>
      <c r="N98" s="89"/>
      <c r="O98" s="89">
        <f>$F$98</f>
        <v>0</v>
      </c>
      <c r="P98" s="90">
        <f>IF(ISBLANK($F$98),$Q$18,$P$18)</f>
        <v>1</v>
      </c>
      <c r="Q98" s="93" t="str">
        <f>IF($P$98=1,"- Impacto ambiental,; ","  ")</f>
        <v xml:space="preserve">- Impacto ambiental,; </v>
      </c>
      <c r="R98" s="94"/>
      <c r="S98" s="95"/>
    </row>
    <row r="99" spans="3:19" ht="103.5" customHeight="1" x14ac:dyDescent="0.25">
      <c r="C99" s="177" t="s">
        <v>1167</v>
      </c>
      <c r="D99" s="178"/>
      <c r="E99" s="178"/>
      <c r="F99" s="172"/>
      <c r="G99" s="172"/>
      <c r="H99" s="173"/>
      <c r="I99" s="85"/>
      <c r="J99" s="96" t="s">
        <v>1060</v>
      </c>
      <c r="K99" s="136" t="s">
        <v>1137</v>
      </c>
      <c r="L99" s="137"/>
      <c r="N99" s="89"/>
      <c r="O99" s="89">
        <f>$F$99</f>
        <v>0</v>
      </c>
      <c r="P99" s="90">
        <f>IF(ISBLANK($F$99),$Q$18,$P$18)</f>
        <v>1</v>
      </c>
      <c r="Q99" s="93" t="str">
        <f>IF($P$99=1,"- Impacto sócio-econômico; ","  ")</f>
        <v xml:space="preserve">- Impacto sócio-econômico; </v>
      </c>
      <c r="R99" s="94"/>
      <c r="S99" s="95"/>
    </row>
    <row r="100" spans="3:19" ht="99.75" customHeight="1" x14ac:dyDescent="0.25">
      <c r="C100" s="177" t="s">
        <v>1168</v>
      </c>
      <c r="D100" s="178"/>
      <c r="E100" s="178"/>
      <c r="F100" s="172"/>
      <c r="G100" s="172"/>
      <c r="H100" s="173"/>
      <c r="I100" s="85"/>
      <c r="J100" s="96" t="s">
        <v>1060</v>
      </c>
      <c r="K100" s="136" t="s">
        <v>1138</v>
      </c>
      <c r="L100" s="137"/>
      <c r="N100" s="89"/>
      <c r="O100" s="89"/>
      <c r="P100" s="90">
        <f>IF(ISBLANK($F$100),$Q$18,$P$18)</f>
        <v>1</v>
      </c>
      <c r="Q100" s="93" t="str">
        <f>IF($P$100=1,"- Tem Plano de Ação de Emergência (PAE); ","  ")</f>
        <v xml:space="preserve">- Tem Plano de Ação de Emergência (PAE); </v>
      </c>
      <c r="R100" s="94"/>
      <c r="S100" s="95"/>
    </row>
    <row r="101" spans="3:19" ht="85.5" customHeight="1" thickBot="1" x14ac:dyDescent="0.3">
      <c r="C101" s="312" t="s">
        <v>1469</v>
      </c>
      <c r="D101" s="321"/>
      <c r="E101" s="321"/>
      <c r="F101" s="322"/>
      <c r="G101" s="322"/>
      <c r="H101" s="323"/>
      <c r="I101" s="85"/>
      <c r="J101" s="96" t="s">
        <v>1060</v>
      </c>
      <c r="K101" s="136" t="s">
        <v>1139</v>
      </c>
      <c r="L101" s="137"/>
      <c r="N101" s="89"/>
      <c r="O101" s="89"/>
      <c r="P101" s="90">
        <f>IF(ISBLANK($F$101),$Q$18,$P$18)</f>
        <v>1</v>
      </c>
      <c r="Q101" s="93" t="str">
        <f>IF($P$101=1,"- Tem Revisisão Periódica de Segurança de Barragem; ","  ")</f>
        <v xml:space="preserve">- Tem Revisisão Periódica de Segurança de Barragem; </v>
      </c>
      <c r="R101" s="94"/>
      <c r="S101" s="95"/>
    </row>
    <row r="102" spans="3:19" ht="15.75" customHeight="1" thickBot="1" x14ac:dyDescent="0.3">
      <c r="C102" s="228" t="s">
        <v>26</v>
      </c>
      <c r="D102" s="229"/>
      <c r="E102" s="229"/>
      <c r="F102" s="229"/>
      <c r="G102" s="229"/>
      <c r="H102" s="230"/>
      <c r="I102" s="85"/>
      <c r="J102" s="203" t="s">
        <v>26</v>
      </c>
      <c r="K102" s="204"/>
      <c r="L102" s="205"/>
      <c r="N102" s="89"/>
      <c r="O102" s="89"/>
      <c r="P102" s="90"/>
      <c r="Q102" s="93"/>
      <c r="R102" s="94"/>
      <c r="S102" s="95"/>
    </row>
    <row r="103" spans="3:19" ht="40.5" customHeight="1" x14ac:dyDescent="0.25">
      <c r="C103" s="308" t="s">
        <v>1169</v>
      </c>
      <c r="D103" s="309"/>
      <c r="E103" s="309"/>
      <c r="F103" s="332"/>
      <c r="G103" s="332"/>
      <c r="H103" s="333"/>
      <c r="I103" s="85"/>
      <c r="J103" s="96" t="s">
        <v>1060</v>
      </c>
      <c r="K103" s="136" t="s">
        <v>1200</v>
      </c>
      <c r="L103" s="137"/>
      <c r="N103" s="89"/>
      <c r="O103" s="89"/>
      <c r="P103" s="90">
        <f>IF(ISBLANK($F$103),$Q$18,$P$18)</f>
        <v>1</v>
      </c>
      <c r="Q103" s="93" t="str">
        <f>IF($P$103=1,"- Tipo de autorização; ","  ")</f>
        <v xml:space="preserve">- Tipo de autorização; </v>
      </c>
      <c r="R103" s="94"/>
      <c r="S103" s="95"/>
    </row>
    <row r="104" spans="3:19" ht="64.5" customHeight="1" x14ac:dyDescent="0.25">
      <c r="C104" s="349" t="s">
        <v>1170</v>
      </c>
      <c r="D104" s="350"/>
      <c r="E104" s="350"/>
      <c r="F104" s="351"/>
      <c r="G104" s="351"/>
      <c r="H104" s="352"/>
      <c r="I104" s="85"/>
      <c r="J104" s="96" t="s">
        <v>1059</v>
      </c>
      <c r="K104" s="136" t="s">
        <v>1340</v>
      </c>
      <c r="L104" s="137"/>
      <c r="N104" s="89"/>
      <c r="O104" s="89"/>
      <c r="P104" s="90">
        <f>IF(ISBLANK($F$104),$Q$18,$P$18)</f>
        <v>1</v>
      </c>
      <c r="Q104" s="93" t="str">
        <f>IF($P$104=1,"- Número da autorização; ","  ")</f>
        <v xml:space="preserve">- Número da autorização; </v>
      </c>
      <c r="R104" s="94"/>
      <c r="S104" s="95"/>
    </row>
    <row r="105" spans="3:19" ht="55.5" customHeight="1" x14ac:dyDescent="0.25">
      <c r="C105" s="356" t="s">
        <v>1171</v>
      </c>
      <c r="D105" s="357"/>
      <c r="E105" s="357"/>
      <c r="F105" s="317"/>
      <c r="G105" s="317"/>
      <c r="H105" s="318"/>
      <c r="I105" s="85"/>
      <c r="J105" s="96" t="s">
        <v>1229</v>
      </c>
      <c r="K105" s="136" t="s">
        <v>1269</v>
      </c>
      <c r="L105" s="137"/>
      <c r="N105" s="89"/>
      <c r="O105" s="89"/>
      <c r="P105" s="90">
        <f>IF(ISBLANK($F$105),$Q$18,$P$18)</f>
        <v>1</v>
      </c>
      <c r="Q105" s="93" t="str">
        <f>IF($P$105=1,"- Data de emissão da autorização/Publicação; ","  ")</f>
        <v xml:space="preserve">- Data de emissão da autorização/Publicação; </v>
      </c>
      <c r="R105" s="94"/>
      <c r="S105" s="95"/>
    </row>
    <row r="106" spans="3:19" ht="18.75" customHeight="1" x14ac:dyDescent="0.25">
      <c r="C106" s="319" t="s">
        <v>1409</v>
      </c>
      <c r="D106" s="320"/>
      <c r="E106" s="320"/>
      <c r="F106" s="317"/>
      <c r="G106" s="317"/>
      <c r="H106" s="318"/>
      <c r="I106" s="107"/>
      <c r="J106" s="96" t="s">
        <v>1229</v>
      </c>
      <c r="K106" s="136" t="s">
        <v>1270</v>
      </c>
      <c r="L106" s="137"/>
      <c r="N106" s="89"/>
      <c r="O106" s="89"/>
      <c r="P106" s="90">
        <f>IF(ISBLANK($F$106),$Q$18,$P$18)</f>
        <v>1</v>
      </c>
      <c r="Q106" s="93" t="str">
        <f>IF($P$106=1,"- Validade da autorização; ","  ")</f>
        <v xml:space="preserve">- Validade da autorização; </v>
      </c>
      <c r="R106" s="94"/>
      <c r="S106" s="95"/>
    </row>
    <row r="107" spans="3:19" ht="16.5" thickBot="1" x14ac:dyDescent="0.3">
      <c r="C107" s="281" t="s">
        <v>13</v>
      </c>
      <c r="D107" s="282"/>
      <c r="E107" s="282"/>
      <c r="F107" s="211"/>
      <c r="G107" s="211"/>
      <c r="H107" s="212"/>
      <c r="I107" s="85"/>
      <c r="J107" s="96" t="s">
        <v>1059</v>
      </c>
      <c r="K107" s="136" t="s">
        <v>1214</v>
      </c>
      <c r="L107" s="137"/>
      <c r="N107" s="89"/>
      <c r="O107" s="89"/>
      <c r="P107" s="90">
        <f>IF(ISBLANK($F$107),$Q$18,$P$18)</f>
        <v>1</v>
      </c>
      <c r="Q107" s="93"/>
      <c r="R107" s="94"/>
      <c r="S107" s="95"/>
    </row>
    <row r="108" spans="3:19" ht="15.75" customHeight="1" thickBot="1" x14ac:dyDescent="0.3">
      <c r="C108" s="340" t="s">
        <v>1041</v>
      </c>
      <c r="D108" s="341"/>
      <c r="E108" s="341"/>
      <c r="F108" s="341"/>
      <c r="G108" s="341"/>
      <c r="H108" s="342"/>
      <c r="I108" s="85"/>
      <c r="J108" s="140" t="s">
        <v>1041</v>
      </c>
      <c r="K108" s="141"/>
      <c r="L108" s="142"/>
      <c r="N108" s="89"/>
      <c r="O108" s="89"/>
      <c r="P108" s="90"/>
      <c r="Q108" s="93"/>
      <c r="R108" s="94"/>
      <c r="S108" s="95"/>
    </row>
    <row r="109" spans="3:19" ht="408.95" customHeight="1" thickBot="1" x14ac:dyDescent="0.3">
      <c r="C109" s="343"/>
      <c r="D109" s="344"/>
      <c r="E109" s="344"/>
      <c r="F109" s="344"/>
      <c r="G109" s="344"/>
      <c r="H109" s="345"/>
      <c r="I109" s="85"/>
      <c r="J109" s="96" t="s">
        <v>1060</v>
      </c>
      <c r="K109" s="136" t="s">
        <v>1201</v>
      </c>
      <c r="L109" s="137"/>
      <c r="N109" s="89"/>
      <c r="O109" s="89"/>
      <c r="P109" s="90"/>
      <c r="Q109" s="93"/>
      <c r="R109" s="94"/>
      <c r="S109" s="95"/>
    </row>
    <row r="110" spans="3:19" ht="15.75" customHeight="1" thickBot="1" x14ac:dyDescent="0.3">
      <c r="C110" s="346" t="s">
        <v>1341</v>
      </c>
      <c r="D110" s="347"/>
      <c r="E110" s="347"/>
      <c r="F110" s="347"/>
      <c r="G110" s="347"/>
      <c r="H110" s="348"/>
      <c r="I110" s="85"/>
      <c r="J110" s="140" t="s">
        <v>1341</v>
      </c>
      <c r="K110" s="141"/>
      <c r="L110" s="142"/>
      <c r="N110" s="89"/>
      <c r="O110" s="89"/>
      <c r="P110" s="90"/>
      <c r="Q110" s="93"/>
      <c r="R110" s="94"/>
      <c r="S110" s="95"/>
    </row>
    <row r="111" spans="3:19" ht="15.75" customHeight="1" x14ac:dyDescent="0.25">
      <c r="C111" s="330" t="s">
        <v>1395</v>
      </c>
      <c r="D111" s="331"/>
      <c r="E111" s="331"/>
      <c r="F111" s="331"/>
      <c r="G111" s="331"/>
      <c r="H111" s="70" t="e">
        <f>Classificação!$D$138</f>
        <v>#N/A</v>
      </c>
      <c r="I111" s="85"/>
      <c r="J111" s="180" t="s">
        <v>1438</v>
      </c>
      <c r="K111" s="181"/>
      <c r="L111" s="182"/>
      <c r="N111" s="89"/>
      <c r="O111" s="89"/>
      <c r="P111" s="90"/>
      <c r="Q111" s="93"/>
      <c r="R111" s="94"/>
      <c r="S111" s="95"/>
    </row>
    <row r="112" spans="3:19" ht="15.75" customHeight="1" x14ac:dyDescent="0.25">
      <c r="C112" s="303" t="s">
        <v>1396</v>
      </c>
      <c r="D112" s="324"/>
      <c r="E112" s="324"/>
      <c r="F112" s="324"/>
      <c r="G112" s="324"/>
      <c r="H112" s="71" t="e">
        <f>Classificação!$D$145</f>
        <v>#N/A</v>
      </c>
      <c r="I112" s="85"/>
      <c r="J112" s="183"/>
      <c r="K112" s="184"/>
      <c r="L112" s="185"/>
      <c r="N112" s="89"/>
      <c r="O112" s="89"/>
      <c r="P112" s="90"/>
      <c r="Q112" s="93"/>
      <c r="R112" s="94"/>
      <c r="S112" s="95"/>
    </row>
    <row r="113" spans="3:19" ht="30" customHeight="1" thickBot="1" x14ac:dyDescent="0.3">
      <c r="C113" s="303" t="s">
        <v>1397</v>
      </c>
      <c r="D113" s="324"/>
      <c r="E113" s="324"/>
      <c r="F113" s="324"/>
      <c r="G113" s="324"/>
      <c r="H113" s="72" t="e">
        <f>IF(AND('Formulário Cadastro'!$N$68&lt;15,'Formulário Cadastro'!$F$72&lt;3000000,Classificação!$D$145="BAIXO"),"  ",Classificação!$E$158)</f>
        <v>#N/A</v>
      </c>
      <c r="I113" s="85"/>
      <c r="J113" s="186"/>
      <c r="K113" s="187"/>
      <c r="L113" s="188"/>
      <c r="N113" s="89"/>
      <c r="O113" s="89"/>
      <c r="P113" s="90"/>
      <c r="Q113" s="93"/>
      <c r="R113" s="94"/>
      <c r="S113" s="95"/>
    </row>
    <row r="114" spans="3:19" ht="15.75" customHeight="1" thickBot="1" x14ac:dyDescent="0.3">
      <c r="C114" s="353" t="s">
        <v>1342</v>
      </c>
      <c r="D114" s="354"/>
      <c r="E114" s="354"/>
      <c r="F114" s="354"/>
      <c r="G114" s="354"/>
      <c r="H114" s="355"/>
      <c r="I114" s="85"/>
      <c r="J114" s="140" t="s">
        <v>1342</v>
      </c>
      <c r="K114" s="141"/>
      <c r="L114" s="142"/>
      <c r="N114" s="89"/>
      <c r="O114" s="89"/>
      <c r="P114" s="90"/>
      <c r="Q114" s="93"/>
      <c r="R114" s="94"/>
      <c r="S114" s="95"/>
    </row>
    <row r="115" spans="3:19" ht="15.75" customHeight="1" x14ac:dyDescent="0.25">
      <c r="C115" s="197" t="e">
        <f>VLOOKUP(Classificação!$C$172,Classificação!$B$176:$G$177,2,FALSE)</f>
        <v>#N/A</v>
      </c>
      <c r="D115" s="198"/>
      <c r="E115" s="198"/>
      <c r="F115" s="198"/>
      <c r="G115" s="198"/>
      <c r="H115" s="199"/>
      <c r="I115" s="85"/>
      <c r="J115" s="180" t="s">
        <v>1439</v>
      </c>
      <c r="K115" s="181"/>
      <c r="L115" s="182"/>
      <c r="N115" s="89"/>
      <c r="O115" s="89"/>
      <c r="P115" s="179"/>
      <c r="Q115" s="93"/>
      <c r="R115" s="94"/>
      <c r="S115" s="95"/>
    </row>
    <row r="116" spans="3:19" ht="15.75" customHeight="1" x14ac:dyDescent="0.25">
      <c r="C116" s="183"/>
      <c r="D116" s="184"/>
      <c r="E116" s="184"/>
      <c r="F116" s="184"/>
      <c r="G116" s="184"/>
      <c r="H116" s="185"/>
      <c r="I116" s="85"/>
      <c r="J116" s="183"/>
      <c r="K116" s="184"/>
      <c r="L116" s="185"/>
      <c r="N116" s="89"/>
      <c r="O116" s="89"/>
      <c r="P116" s="179"/>
      <c r="Q116" s="93"/>
      <c r="R116" s="94"/>
      <c r="S116" s="95"/>
    </row>
    <row r="117" spans="3:19" ht="15.75" customHeight="1" x14ac:dyDescent="0.25">
      <c r="C117" s="183"/>
      <c r="D117" s="184"/>
      <c r="E117" s="184"/>
      <c r="F117" s="184"/>
      <c r="G117" s="184"/>
      <c r="H117" s="185"/>
      <c r="I117" s="85"/>
      <c r="J117" s="183"/>
      <c r="K117" s="184"/>
      <c r="L117" s="185"/>
      <c r="N117" s="89"/>
      <c r="O117" s="89"/>
      <c r="P117" s="179"/>
      <c r="Q117" s="93"/>
      <c r="R117" s="94"/>
      <c r="S117" s="95"/>
    </row>
    <row r="118" spans="3:19" ht="15.75" customHeight="1" x14ac:dyDescent="0.25">
      <c r="C118" s="183"/>
      <c r="D118" s="184"/>
      <c r="E118" s="184"/>
      <c r="F118" s="184"/>
      <c r="G118" s="184"/>
      <c r="H118" s="185"/>
      <c r="I118" s="85"/>
      <c r="J118" s="183"/>
      <c r="K118" s="184"/>
      <c r="L118" s="185"/>
      <c r="N118" s="89"/>
      <c r="O118" s="89"/>
      <c r="P118" s="179"/>
      <c r="Q118" s="93"/>
      <c r="R118" s="94"/>
      <c r="S118" s="95"/>
    </row>
    <row r="119" spans="3:19" ht="17.25" customHeight="1" x14ac:dyDescent="0.25">
      <c r="C119" s="183"/>
      <c r="D119" s="184"/>
      <c r="E119" s="184"/>
      <c r="F119" s="184"/>
      <c r="G119" s="184"/>
      <c r="H119" s="185"/>
      <c r="I119" s="85"/>
      <c r="J119" s="183"/>
      <c r="K119" s="184"/>
      <c r="L119" s="185"/>
      <c r="N119" s="89"/>
      <c r="O119" s="89"/>
      <c r="P119" s="179"/>
      <c r="Q119" s="93"/>
      <c r="R119" s="94"/>
      <c r="S119" s="95"/>
    </row>
    <row r="120" spans="3:19" ht="81" customHeight="1" thickBot="1" x14ac:dyDescent="0.3">
      <c r="C120" s="200" t="e">
        <f>IF(Classificação!C173="sim",VLOOKUP($H$113,Classificação!$B$163:$G$166,2,FALSE),"")</f>
        <v>#N/A</v>
      </c>
      <c r="D120" s="201"/>
      <c r="E120" s="201"/>
      <c r="F120" s="201"/>
      <c r="G120" s="201"/>
      <c r="H120" s="202"/>
      <c r="I120" s="85"/>
      <c r="J120" s="186"/>
      <c r="K120" s="187"/>
      <c r="L120" s="188"/>
      <c r="N120" s="89"/>
      <c r="O120" s="89"/>
      <c r="P120" s="179"/>
      <c r="Q120" s="93"/>
      <c r="R120" s="94"/>
      <c r="S120" s="95"/>
    </row>
    <row r="121" spans="3:19" ht="15.75" customHeight="1" thickBot="1" x14ac:dyDescent="0.3">
      <c r="C121" s="340" t="s">
        <v>10</v>
      </c>
      <c r="D121" s="341"/>
      <c r="E121" s="341"/>
      <c r="F121" s="341"/>
      <c r="G121" s="341"/>
      <c r="H121" s="342"/>
      <c r="I121" s="85"/>
      <c r="J121" s="108"/>
      <c r="K121" s="109"/>
      <c r="L121" s="110"/>
      <c r="N121" s="89"/>
      <c r="O121" s="89"/>
      <c r="P121" s="90"/>
      <c r="Q121" s="93"/>
      <c r="R121" s="94"/>
      <c r="S121" s="95"/>
    </row>
    <row r="122" spans="3:19" x14ac:dyDescent="0.25">
      <c r="C122" s="308" t="s">
        <v>1173</v>
      </c>
      <c r="D122" s="309"/>
      <c r="E122" s="309"/>
      <c r="F122" s="236"/>
      <c r="G122" s="236"/>
      <c r="H122" s="237"/>
      <c r="I122" s="85"/>
      <c r="J122" s="96" t="s">
        <v>1060</v>
      </c>
      <c r="K122" s="136" t="s">
        <v>1202</v>
      </c>
      <c r="L122" s="137"/>
      <c r="N122" s="89"/>
      <c r="O122" s="89"/>
      <c r="P122" s="90">
        <f>IF(ISBLANK($F$122),$Q$18,$P$18)</f>
        <v>1</v>
      </c>
      <c r="Q122" s="93" t="str">
        <f>IF($P$122=1,"- Nome do responsável; ","  ")</f>
        <v xml:space="preserve">- Nome do responsável; </v>
      </c>
      <c r="R122" s="94"/>
      <c r="S122" s="95"/>
    </row>
    <row r="123" spans="3:19" x14ac:dyDescent="0.25">
      <c r="C123" s="280" t="s">
        <v>1174</v>
      </c>
      <c r="D123" s="225"/>
      <c r="E123" s="225"/>
      <c r="F123" s="236"/>
      <c r="G123" s="236"/>
      <c r="H123" s="237"/>
      <c r="I123" s="85"/>
      <c r="J123" s="96" t="s">
        <v>1060</v>
      </c>
      <c r="K123" s="136" t="s">
        <v>1203</v>
      </c>
      <c r="L123" s="137"/>
      <c r="N123" s="89"/>
      <c r="O123" s="89"/>
      <c r="P123" s="90"/>
      <c r="Q123" s="93" t="str">
        <f>IF($P$123=1,"- Cargo do responsável; ","  ")</f>
        <v xml:space="preserve">  </v>
      </c>
      <c r="R123" s="94"/>
      <c r="S123" s="95"/>
    </row>
    <row r="124" spans="3:19" x14ac:dyDescent="0.25">
      <c r="C124" s="280" t="s">
        <v>1175</v>
      </c>
      <c r="D124" s="225"/>
      <c r="E124" s="225"/>
      <c r="F124" s="294"/>
      <c r="G124" s="294"/>
      <c r="H124" s="295"/>
      <c r="I124" s="85"/>
      <c r="J124" s="96" t="s">
        <v>1060</v>
      </c>
      <c r="K124" s="136" t="s">
        <v>1410</v>
      </c>
      <c r="L124" s="137"/>
      <c r="N124" s="89"/>
      <c r="O124" s="89"/>
      <c r="P124" s="90">
        <f>IF(ISBLANK($F$124),$Q$18,$P$18)</f>
        <v>1</v>
      </c>
      <c r="Q124" s="93" t="str">
        <f>IF($P$124=1,"- Telefone do responsável; ","  ")</f>
        <v xml:space="preserve">- Telefone do responsável; </v>
      </c>
      <c r="R124" s="94"/>
      <c r="S124" s="95"/>
    </row>
    <row r="125" spans="3:19" ht="16.5" thickBot="1" x14ac:dyDescent="0.3">
      <c r="C125" s="335" t="s">
        <v>1176</v>
      </c>
      <c r="D125" s="336"/>
      <c r="E125" s="336"/>
      <c r="F125" s="337"/>
      <c r="G125" s="338"/>
      <c r="H125" s="339"/>
      <c r="I125" s="85"/>
      <c r="J125" s="111" t="s">
        <v>1060</v>
      </c>
      <c r="K125" s="138" t="s">
        <v>1204</v>
      </c>
      <c r="L125" s="139"/>
      <c r="N125" s="89"/>
      <c r="O125" s="89"/>
      <c r="P125" s="90">
        <f>IF(ISBLANK($F$125),$Q$18,$P$18)</f>
        <v>1</v>
      </c>
      <c r="Q125" s="93" t="str">
        <f>IF($P$125=1,"- Email do responsáveL; ","  ")</f>
        <v xml:space="preserve">- Email do responsáveL; </v>
      </c>
      <c r="R125" s="94"/>
      <c r="S125" s="95"/>
    </row>
    <row r="126" spans="3:19" ht="50.25" customHeight="1" x14ac:dyDescent="0.25">
      <c r="C126" s="171"/>
      <c r="D126" s="171"/>
      <c r="E126" s="171"/>
      <c r="N126" s="89"/>
      <c r="O126" s="89"/>
      <c r="P126" s="112" t="s">
        <v>1387</v>
      </c>
      <c r="Q126" s="362" t="s">
        <v>1390</v>
      </c>
      <c r="R126" s="363"/>
      <c r="S126" s="364"/>
    </row>
    <row r="127" spans="3:19" ht="22.5" customHeight="1" thickBot="1" x14ac:dyDescent="0.3">
      <c r="N127" s="89"/>
      <c r="O127" s="89"/>
      <c r="P127" s="113">
        <f>$P$19+$P$20+$P$21+$P$22+$P$23+$P$27+$P$28+$P$30+$P$31+$P$32+$P$33+$P$34+$P$36+$P$37+$P$38+$P$39+$P$40+$P$41+$P$43+$P$44+$P$45+$P$46+$P$47+$P$48+$P$51+$P$53+$P$56+$P$57+$P$58+$P$59+$P$60+$P$61+$P$62+$P$63+$P$65+$P$66+$P$67+$P$68+$P$69+$P$70+$P$71+$P$72+$P$73+$P$74+$P$75+$P$76+$P$77+$P$79+$P$80+$P$81+$P$82+$P$83+$P$84+$P$86+$P$87+$P$88+$P$89+$P$90+$P$91+$P$92+$P$93+$P$94+$P$95+$P$97+$P$98+$P$99+$P$100+$P$101+$P$103+$P$104+$P$105+$P$106+$P$107+$P$122+$P$123+$P$124+$P$125</f>
        <v>69</v>
      </c>
      <c r="Q127" s="150" t="str">
        <f>CONCATENATE($Q$19,$Q$20,$Q$21,$Q$22,$Q$23,$Q$27,$Q$28,$Q$30,$Q$31,$Q$32,$Q$33,$Q$34,$Q$36,$Q$37,$Q$38,$Q$39,$Q$40,$Q$41,$Q$43,$Q$44,$Q$45,$Q$46,$Q$47,$Q$48,$Q$51,$Q$53,$Q$56,$Q$57,$Q$58,$Q$59,$Q$60,$Q$61,$Q$62,$Q$63,$Q$64,$Q$65,$Q$66,$Q$67,$Q$68,$Q$69,$Q$70,$Q$71,$Q$72,$Q$73,$Q$74,$Q$75,$Q$76,$Q$77,$Q$79,$Q$80,$Q$81,$Q$82,$Q$83,$Q$84,$Q$86,$Q$87,$Q$88,$Q$89,$Q$90,$Q$91,$Q$92,$Q$93,$Q$94,$Q$95,$Q$97,$Q$98,$Q$99,$Q$100,$Q$101,$Q$103,$Q$104,$Q$105,$Q$106,$Q$107,$Q$122,$Q$123,$Q$124,$Q$125)</f>
        <v xml:space="preserve">- Nome fantasia;     - Nome da estrutura / barragem; - Logradouro empreendimento; - Telefone empreendimento; - E-mail; - Razão social ou nome;     - Logradouro empreendedor; - Nº empreendedor; - Bairro empreendedor; - CEP empreendedor; - Município / UF empreendedor; - Telefone 1 empreendedor; - Telefone 2 empreendedor; - E-mail empreendedor; - Nome do curso d'água barrado; - Domínio curso d'água;   - Latitude; - Longitude; - UPGRH; - Uso principal da barragem; - Data início construção; - Data fim da construção; - Situação da barragem; - Possui projeto básico?; - Possui projeto Executivo?; - Possui projeto de como construído - As Build?; - Sistema extravasor de emergência;   - Critério para vazão de projeto do vertedor ou estrutura extravasora; - Vazão projeto extravasor; - Controle do extravasor; - Altura  máxima do maciço acima da base da fundação; - Altura máxima do maciço acima do nível do terreno; - Comprimento do coroamento da barragem; - Largura do coroamento; - Volume total do reservatório; - Comprimento do reservatório; - Tipo de barragem quanto ao material de construção; - Tipo estrutural; - Tipo de fundação; - Idade da barragem; - Confiabilidade das estruturas extravasoras; - Confiabilidade das estruturas de adução; - Percolação; - Deformações e recalques; - Deterioração dos taludes / Paramentos:; - Eclusa; - Tem Plano de Segurança de Barragem (PSB)?; - Existência de documentação de projeto; - Estrutura organizacional e qualificação técnica dos profissionais da equipe de Segurança da Barragem; - Procedimentos de roteiros de inspeções de segurança e de monitoramento; - Regra operacional dos dispositivos de descarga da barragem; - Relatórios de inspeção de segurança com análise e interpretação;   - Tipo da última inspeção;   - Nível de perigo da barragem; - Potencial de perdas de vidas humanas; - Impacto ambiental,; - Impacto sócio-econômico; - Tem Plano de Ação de Emergência (PAE); - Tem Revisisão Periódica de Segurança de Barragem; - Tipo de autorização; - Número da autorização; - Data de emissão da autorização/Publicação; - Validade da autorização; - Nome do responsável;   - Telefone do responsável; - Email do responsáveL; </v>
      </c>
      <c r="R127" s="151"/>
      <c r="S127" s="152"/>
    </row>
    <row r="128" spans="3:19" ht="22.5" customHeight="1" thickBot="1" x14ac:dyDescent="0.3">
      <c r="C128" s="153" t="s">
        <v>1386</v>
      </c>
      <c r="D128" s="154"/>
      <c r="E128" s="154"/>
      <c r="F128" s="154"/>
      <c r="G128" s="154"/>
      <c r="H128" s="155"/>
      <c r="N128" s="89"/>
      <c r="O128" s="89"/>
      <c r="P128" s="165" t="s">
        <v>1388</v>
      </c>
      <c r="Q128" s="166"/>
      <c r="R128" s="166"/>
      <c r="S128" s="167"/>
    </row>
    <row r="129" spans="3:21" x14ac:dyDescent="0.25">
      <c r="C129" s="156" t="str">
        <f>IF($P$127&gt;0,$P$129,$P$130)</f>
        <v>Os campos listados abaixo são de preenchimento obrigatório:</v>
      </c>
      <c r="D129" s="157"/>
      <c r="E129" s="157"/>
      <c r="F129" s="157"/>
      <c r="G129" s="157"/>
      <c r="H129" s="158"/>
      <c r="N129" s="89"/>
      <c r="O129" s="89"/>
      <c r="P129" s="168" t="s">
        <v>1384</v>
      </c>
      <c r="Q129" s="169"/>
      <c r="R129" s="169"/>
      <c r="S129" s="170"/>
    </row>
    <row r="130" spans="3:21" ht="23.25" customHeight="1" x14ac:dyDescent="0.25">
      <c r="C130" s="159"/>
      <c r="D130" s="160"/>
      <c r="E130" s="160"/>
      <c r="F130" s="160"/>
      <c r="G130" s="160"/>
      <c r="H130" s="161"/>
      <c r="N130" s="89"/>
      <c r="O130" s="89"/>
      <c r="P130" s="168" t="s">
        <v>1385</v>
      </c>
      <c r="Q130" s="169"/>
      <c r="R130" s="169"/>
      <c r="S130" s="170"/>
    </row>
    <row r="131" spans="3:21" ht="129" customHeight="1" thickBot="1" x14ac:dyDescent="0.3">
      <c r="C131" s="162" t="str">
        <f>$P$131</f>
        <v xml:space="preserve">- Nome fantasia;     - Nome da estrutura / barragem; - Logradouro empreendimento; - Telefone empreendimento; - E-mail; - Razão social ou nome;     - Logradouro empreendedor; - Nº empreendedor; - Bairro empreendedor; - CEP empreendedor; - Município / UF empreendedor; - Telefone 1 empreendedor; - Telefone 2 empreendedor; - E-mail empreendedor; - Nome do curso d'água barrado; - Domínio curso d'água;   - Latitude; - Longitude; - UPGRH; - Uso principal da barragem; - Data início construção; - Data fim da construção; - Situação da barragem; - Possui projeto básico?; - Possui projeto Executivo?; - Possui projeto de como construído - As Build?; - Sistema extravasor de emergência;   - Critério para vazão de projeto do vertedor ou estrutura extravasora; - Vazão projeto extravasor; - Controle do extravasor; - Altura  máxima do maciço acima da base da fundação; - Altura máxima do maciço acima do nível do terreno; - Comprimento do coroamento da barragem; - Largura do coroamento; - Volume total do reservatório; - Comprimento do reservatório; - Tipo de barragem quanto ao material de construção; - Tipo estrutural; - Tipo de fundação; - Idade da barragem; - Confiabilidade das estruturas extravasoras; - Confiabilidade das estruturas de adução; - Percolação; - Deformações e recalques; - Deterioração dos taludes / Paramentos:; - Eclusa; - Tem Plano de Segurança de Barragem (PSB)?; - Existência de documentação de projeto; - Estrutura organizacional e qualificação técnica dos profissionais da equipe de Segurança da Barragem; - Procedimentos de roteiros de inspeções de segurança e de monitoramento; - Regra operacional dos dispositivos de descarga da barragem; - Relatórios de inspeção de segurança com análise e interpretação;   - Tipo da última inspeção;   - Nível de perigo da barragem; - Potencial de perdas de vidas humanas; - Impacto ambiental,; - Impacto sócio-econômico; - Tem Plano de Ação de Emergência (PAE); - Tem Revisisão Periódica de Segurança de Barragem; - Tipo de autorização; - Número da autorização; - Data de emissão da autorização/Publicação; - Validade da autorização; - Nome do responsável;   - Telefone do responsável; - Email do responsáveL; </v>
      </c>
      <c r="D131" s="163"/>
      <c r="E131" s="163"/>
      <c r="F131" s="163"/>
      <c r="G131" s="163"/>
      <c r="H131" s="164"/>
      <c r="N131" s="89"/>
      <c r="O131" s="89"/>
      <c r="P131" s="149" t="str">
        <f>IF($P$127&gt;0,$Q$127,"  ")</f>
        <v xml:space="preserve">- Nome fantasia;     - Nome da estrutura / barragem; - Logradouro empreendimento; - Telefone empreendimento; - E-mail; - Razão social ou nome;     - Logradouro empreendedor; - Nº empreendedor; - Bairro empreendedor; - CEP empreendedor; - Município / UF empreendedor; - Telefone 1 empreendedor; - Telefone 2 empreendedor; - E-mail empreendedor; - Nome do curso d'água barrado; - Domínio curso d'água;   - Latitude; - Longitude; - UPGRH; - Uso principal da barragem; - Data início construção; - Data fim da construção; - Situação da barragem; - Possui projeto básico?; - Possui projeto Executivo?; - Possui projeto de como construído - As Build?; - Sistema extravasor de emergência;   - Critério para vazão de projeto do vertedor ou estrutura extravasora; - Vazão projeto extravasor; - Controle do extravasor; - Altura  máxima do maciço acima da base da fundação; - Altura máxima do maciço acima do nível do terreno; - Comprimento do coroamento da barragem; - Largura do coroamento; - Volume total do reservatório; - Comprimento do reservatório; - Tipo de barragem quanto ao material de construção; - Tipo estrutural; - Tipo de fundação; - Idade da barragem; - Confiabilidade das estruturas extravasoras; - Confiabilidade das estruturas de adução; - Percolação; - Deformações e recalques; - Deterioração dos taludes / Paramentos:; - Eclusa; - Tem Plano de Segurança de Barragem (PSB)?; - Existência de documentação de projeto; - Estrutura organizacional e qualificação técnica dos profissionais da equipe de Segurança da Barragem; - Procedimentos de roteiros de inspeções de segurança e de monitoramento; - Regra operacional dos dispositivos de descarga da barragem; - Relatórios de inspeção de segurança com análise e interpretação;   - Tipo da última inspeção;   - Nível de perigo da barragem; - Potencial de perdas de vidas humanas; - Impacto ambiental,; - Impacto sócio-econômico; - Tem Plano de Ação de Emergência (PAE); - Tem Revisisão Periódica de Segurança de Barragem; - Tipo de autorização; - Número da autorização; - Data de emissão da autorização/Publicação; - Validade da autorização; - Nome do responsável;   - Telefone do responsável; - Email do responsáveL; </v>
      </c>
      <c r="Q131" s="149"/>
      <c r="R131" s="149"/>
      <c r="S131" s="149"/>
      <c r="T131" s="114"/>
      <c r="U131" s="114"/>
    </row>
    <row r="132" spans="3:21" x14ac:dyDescent="0.25">
      <c r="P132" s="114"/>
      <c r="Q132" s="114"/>
      <c r="R132" s="114"/>
      <c r="S132" s="114"/>
      <c r="T132" s="114"/>
      <c r="U132" s="114"/>
    </row>
    <row r="133" spans="3:21" x14ac:dyDescent="0.25">
      <c r="C133" s="196"/>
      <c r="D133" s="196"/>
      <c r="E133" s="196"/>
      <c r="F133" s="196"/>
      <c r="G133" s="196"/>
      <c r="H133" s="196"/>
      <c r="P133" s="114"/>
      <c r="Q133" s="114"/>
      <c r="R133" s="114"/>
      <c r="S133" s="114"/>
      <c r="T133" s="114"/>
      <c r="U133" s="114"/>
    </row>
    <row r="134" spans="3:21" ht="15.75" customHeight="1" x14ac:dyDescent="0.25">
      <c r="C134" s="115" t="s">
        <v>1404</v>
      </c>
      <c r="D134" s="115"/>
      <c r="E134" s="115"/>
      <c r="F134" s="115"/>
      <c r="G134" s="115"/>
      <c r="H134" s="115"/>
      <c r="P134" s="114"/>
      <c r="Q134" s="114"/>
      <c r="R134" s="114"/>
      <c r="S134" s="114"/>
      <c r="T134" s="114"/>
      <c r="U134" s="114"/>
    </row>
    <row r="135" spans="3:21" ht="15.75" customHeight="1" x14ac:dyDescent="0.25">
      <c r="C135" s="115"/>
      <c r="D135" s="115"/>
      <c r="E135" s="115"/>
      <c r="F135" s="115"/>
      <c r="G135" s="115"/>
      <c r="H135" s="115"/>
      <c r="P135" s="114"/>
      <c r="Q135" s="114"/>
      <c r="R135" s="114"/>
      <c r="S135" s="114"/>
      <c r="T135" s="114"/>
      <c r="U135" s="114"/>
    </row>
    <row r="136" spans="3:21" ht="15.75" customHeight="1" x14ac:dyDescent="0.25">
      <c r="C136" s="115"/>
      <c r="D136" s="115"/>
      <c r="E136" s="115"/>
      <c r="F136" s="115"/>
      <c r="G136" s="115"/>
      <c r="H136" s="115"/>
      <c r="P136" s="114"/>
      <c r="Q136" s="114"/>
      <c r="R136" s="114"/>
      <c r="S136" s="114"/>
      <c r="T136" s="114"/>
      <c r="U136" s="114"/>
    </row>
    <row r="137" spans="3:21" ht="21" customHeight="1" x14ac:dyDescent="0.25">
      <c r="C137" s="115"/>
      <c r="D137" s="115"/>
      <c r="E137" s="115"/>
      <c r="F137" s="115"/>
      <c r="G137" s="115"/>
      <c r="H137" s="115"/>
      <c r="P137" s="114"/>
      <c r="Q137" s="114"/>
      <c r="R137" s="114"/>
      <c r="S137" s="114"/>
      <c r="T137" s="114"/>
      <c r="U137" s="114"/>
    </row>
    <row r="138" spans="3:21" ht="15.75" customHeight="1" x14ac:dyDescent="0.25">
      <c r="C138" s="115"/>
      <c r="D138" s="115"/>
      <c r="E138" s="115"/>
      <c r="F138" s="115"/>
      <c r="G138" s="115"/>
      <c r="H138" s="115"/>
      <c r="P138" s="114"/>
      <c r="Q138" s="114"/>
      <c r="R138" s="114"/>
      <c r="S138" s="114"/>
      <c r="T138" s="114"/>
      <c r="U138" s="114"/>
    </row>
    <row r="139" spans="3:21" ht="28.5" hidden="1" customHeight="1" x14ac:dyDescent="0.25">
      <c r="C139" s="115"/>
      <c r="D139" s="115"/>
      <c r="E139" s="115"/>
      <c r="F139" s="115"/>
      <c r="G139" s="115"/>
      <c r="H139" s="115"/>
    </row>
    <row r="140" spans="3:21" hidden="1" x14ac:dyDescent="0.25">
      <c r="C140" s="368" t="s">
        <v>1452</v>
      </c>
      <c r="D140" s="369"/>
      <c r="E140" s="369"/>
      <c r="F140" s="134" t="e">
        <f>Classificação!$D$52</f>
        <v>#N/A</v>
      </c>
    </row>
    <row r="141" spans="3:21" hidden="1" x14ac:dyDescent="0.25">
      <c r="C141" s="368" t="s">
        <v>1453</v>
      </c>
      <c r="D141" s="369"/>
      <c r="E141" s="369"/>
      <c r="F141" s="134" t="e">
        <f>Classificação!$D$84</f>
        <v>#N/A</v>
      </c>
    </row>
    <row r="142" spans="3:21" hidden="1" x14ac:dyDescent="0.25">
      <c r="C142" s="368" t="s">
        <v>1454</v>
      </c>
      <c r="D142" s="369"/>
      <c r="E142" s="369"/>
      <c r="F142" s="134" t="e">
        <f>Classificação!$D$107</f>
        <v>#N/A</v>
      </c>
    </row>
    <row r="143" spans="3:21" hidden="1" x14ac:dyDescent="0.25">
      <c r="C143" s="368" t="s">
        <v>1455</v>
      </c>
      <c r="D143" s="369"/>
      <c r="E143" s="369"/>
      <c r="F143" s="134" t="e">
        <f>Classificação!$D$58</f>
        <v>#N/A</v>
      </c>
    </row>
    <row r="144" spans="3:21" hidden="1" x14ac:dyDescent="0.25">
      <c r="C144" s="368" t="s">
        <v>1456</v>
      </c>
      <c r="D144" s="369"/>
      <c r="E144" s="369"/>
      <c r="F144" s="134" t="e">
        <f>Classificação!$D$63</f>
        <v>#N/A</v>
      </c>
    </row>
    <row r="145" spans="3:6" hidden="1" x14ac:dyDescent="0.25">
      <c r="C145" s="368" t="s">
        <v>1457</v>
      </c>
      <c r="D145" s="369"/>
      <c r="E145" s="369"/>
      <c r="F145" s="134" t="e">
        <f>Classificação!$D$68</f>
        <v>#N/A</v>
      </c>
    </row>
    <row r="146" spans="3:6" hidden="1" x14ac:dyDescent="0.25">
      <c r="C146" s="368" t="s">
        <v>1458</v>
      </c>
      <c r="D146" s="369"/>
      <c r="E146" s="369"/>
      <c r="F146" s="134" t="e">
        <f>Classificação!$D$73</f>
        <v>#N/A</v>
      </c>
    </row>
    <row r="147" spans="3:6" hidden="1" x14ac:dyDescent="0.25">
      <c r="C147" s="368" t="s">
        <v>1459</v>
      </c>
      <c r="D147" s="369"/>
      <c r="E147" s="369"/>
      <c r="F147" s="134" t="e">
        <f>Classificação!$D$78</f>
        <v>#N/A</v>
      </c>
    </row>
    <row r="148" spans="3:6" hidden="1" x14ac:dyDescent="0.25">
      <c r="C148" s="368" t="s">
        <v>1460</v>
      </c>
      <c r="D148" s="369"/>
      <c r="E148" s="369"/>
      <c r="F148" s="134" t="e">
        <f>Classificação!$D$83</f>
        <v>#N/A</v>
      </c>
    </row>
    <row r="149" spans="3:6" hidden="1" x14ac:dyDescent="0.25">
      <c r="F149" s="135"/>
    </row>
  </sheetData>
  <sheetProtection algorithmName="SHA-512" hashValue="YkksOZMr9rZXiUhKptyiLXiwjKWl5kpPwpQWBNlcPk8Q8DTtLnYo4gzzsmFrowBl9VNOPWddliSu/gEdDQzUYw==" saltValue="dTSD9nH89hdTWdpOJSXnqw==" spinCount="100000" sheet="1" objects="1" scenarios="1" selectLockedCells="1"/>
  <dataConsolidate/>
  <mergeCells count="334">
    <mergeCell ref="C140:E140"/>
    <mergeCell ref="C141:E141"/>
    <mergeCell ref="C142:E142"/>
    <mergeCell ref="C143:E143"/>
    <mergeCell ref="C144:E144"/>
    <mergeCell ref="C145:E145"/>
    <mergeCell ref="C146:E146"/>
    <mergeCell ref="C147:E147"/>
    <mergeCell ref="C148:E148"/>
    <mergeCell ref="P17:R17"/>
    <mergeCell ref="Q18:R18"/>
    <mergeCell ref="N17:O17"/>
    <mergeCell ref="Q126:S126"/>
    <mergeCell ref="Q88:S88"/>
    <mergeCell ref="Q89:S89"/>
    <mergeCell ref="Q90:S90"/>
    <mergeCell ref="Q91:S91"/>
    <mergeCell ref="Q65:S65"/>
    <mergeCell ref="C111:G111"/>
    <mergeCell ref="C112:G112"/>
    <mergeCell ref="C113:G113"/>
    <mergeCell ref="C110:H110"/>
    <mergeCell ref="C104:E104"/>
    <mergeCell ref="F104:H104"/>
    <mergeCell ref="C114:H114"/>
    <mergeCell ref="J111:L113"/>
    <mergeCell ref="J114:L114"/>
    <mergeCell ref="C105:E105"/>
    <mergeCell ref="F105:H105"/>
    <mergeCell ref="C106:E106"/>
    <mergeCell ref="F106:H106"/>
    <mergeCell ref="K104:L104"/>
    <mergeCell ref="K105:L105"/>
    <mergeCell ref="K106:L106"/>
    <mergeCell ref="K107:L107"/>
    <mergeCell ref="K109:L109"/>
    <mergeCell ref="K101:L101"/>
    <mergeCell ref="C103:E103"/>
    <mergeCell ref="F103:H103"/>
    <mergeCell ref="K103:L103"/>
    <mergeCell ref="C9:G9"/>
    <mergeCell ref="C125:E125"/>
    <mergeCell ref="F125:H125"/>
    <mergeCell ref="C122:E122"/>
    <mergeCell ref="F122:H122"/>
    <mergeCell ref="C123:E123"/>
    <mergeCell ref="F123:H123"/>
    <mergeCell ref="C124:E124"/>
    <mergeCell ref="F124:H124"/>
    <mergeCell ref="C107:E107"/>
    <mergeCell ref="F107:H107"/>
    <mergeCell ref="C108:H108"/>
    <mergeCell ref="C101:E101"/>
    <mergeCell ref="F101:H101"/>
    <mergeCell ref="C102:H102"/>
    <mergeCell ref="C109:H109"/>
    <mergeCell ref="C121:H121"/>
    <mergeCell ref="C100:E100"/>
    <mergeCell ref="F100:H100"/>
    <mergeCell ref="K98:L98"/>
    <mergeCell ref="K99:L99"/>
    <mergeCell ref="K100:L100"/>
    <mergeCell ref="C93:E93"/>
    <mergeCell ref="F93:H93"/>
    <mergeCell ref="C94:E94"/>
    <mergeCell ref="F94:H94"/>
    <mergeCell ref="K95:L95"/>
    <mergeCell ref="K97:L97"/>
    <mergeCell ref="C95:E95"/>
    <mergeCell ref="F95:H95"/>
    <mergeCell ref="C96:H96"/>
    <mergeCell ref="J96:L96"/>
    <mergeCell ref="C97:E97"/>
    <mergeCell ref="F97:H97"/>
    <mergeCell ref="C98:E98"/>
    <mergeCell ref="F98:H98"/>
    <mergeCell ref="C99:E99"/>
    <mergeCell ref="F99:H99"/>
    <mergeCell ref="C89:E89"/>
    <mergeCell ref="F89:H89"/>
    <mergeCell ref="C90:E90"/>
    <mergeCell ref="F90:H90"/>
    <mergeCell ref="C91:E91"/>
    <mergeCell ref="F91:H91"/>
    <mergeCell ref="K94:L94"/>
    <mergeCell ref="C86:E86"/>
    <mergeCell ref="F86:H86"/>
    <mergeCell ref="C87:E87"/>
    <mergeCell ref="F87:H87"/>
    <mergeCell ref="C88:E88"/>
    <mergeCell ref="F88:H88"/>
    <mergeCell ref="K93:L93"/>
    <mergeCell ref="K86:L86"/>
    <mergeCell ref="K87:L87"/>
    <mergeCell ref="K88:L88"/>
    <mergeCell ref="K89:L89"/>
    <mergeCell ref="K90:L90"/>
    <mergeCell ref="K91:L91"/>
    <mergeCell ref="K92:L92"/>
    <mergeCell ref="F92:H92"/>
    <mergeCell ref="C92:E92"/>
    <mergeCell ref="F72:H72"/>
    <mergeCell ref="C83:E83"/>
    <mergeCell ref="F83:H83"/>
    <mergeCell ref="K80:L80"/>
    <mergeCell ref="C84:E84"/>
    <mergeCell ref="F84:H84"/>
    <mergeCell ref="C85:H85"/>
    <mergeCell ref="C80:E80"/>
    <mergeCell ref="F80:H80"/>
    <mergeCell ref="C81:E81"/>
    <mergeCell ref="F81:H81"/>
    <mergeCell ref="C82:E82"/>
    <mergeCell ref="F82:H82"/>
    <mergeCell ref="J78:L78"/>
    <mergeCell ref="C79:E79"/>
    <mergeCell ref="F79:H79"/>
    <mergeCell ref="C74:E74"/>
    <mergeCell ref="F74:H74"/>
    <mergeCell ref="C75:E75"/>
    <mergeCell ref="F75:H75"/>
    <mergeCell ref="C76:E76"/>
    <mergeCell ref="F76:H76"/>
    <mergeCell ref="C53:C54"/>
    <mergeCell ref="D53:E53"/>
    <mergeCell ref="D54:E54"/>
    <mergeCell ref="F54:H54"/>
    <mergeCell ref="F63:H63"/>
    <mergeCell ref="C63:C64"/>
    <mergeCell ref="D64:E64"/>
    <mergeCell ref="D63:E63"/>
    <mergeCell ref="C56:E56"/>
    <mergeCell ref="F56:H56"/>
    <mergeCell ref="C57:E57"/>
    <mergeCell ref="F57:H57"/>
    <mergeCell ref="C58:E58"/>
    <mergeCell ref="F58:H58"/>
    <mergeCell ref="F53:H53"/>
    <mergeCell ref="C55:E55"/>
    <mergeCell ref="F55:H55"/>
    <mergeCell ref="C62:E62"/>
    <mergeCell ref="C59:E59"/>
    <mergeCell ref="F59:H59"/>
    <mergeCell ref="C60:E60"/>
    <mergeCell ref="F60:H60"/>
    <mergeCell ref="C61:E61"/>
    <mergeCell ref="F61:H61"/>
    <mergeCell ref="F51:H51"/>
    <mergeCell ref="F50:H50"/>
    <mergeCell ref="C50:E50"/>
    <mergeCell ref="C48:E48"/>
    <mergeCell ref="F48:H48"/>
    <mergeCell ref="C49:E49"/>
    <mergeCell ref="F49:H49"/>
    <mergeCell ref="C51:C52"/>
    <mergeCell ref="D51:E51"/>
    <mergeCell ref="D52:E52"/>
    <mergeCell ref="F52:H52"/>
    <mergeCell ref="C44:E44"/>
    <mergeCell ref="F44:H44"/>
    <mergeCell ref="D39:E39"/>
    <mergeCell ref="F39:H39"/>
    <mergeCell ref="C42:H42"/>
    <mergeCell ref="C32:E32"/>
    <mergeCell ref="C45:C47"/>
    <mergeCell ref="D45:E45"/>
    <mergeCell ref="F45:H45"/>
    <mergeCell ref="F46:H46"/>
    <mergeCell ref="F47:H47"/>
    <mergeCell ref="C43:E43"/>
    <mergeCell ref="F43:H43"/>
    <mergeCell ref="C33:C41"/>
    <mergeCell ref="K39:L39"/>
    <mergeCell ref="F31:H31"/>
    <mergeCell ref="F32:H32"/>
    <mergeCell ref="D33:E33"/>
    <mergeCell ref="F33:H33"/>
    <mergeCell ref="D34:E34"/>
    <mergeCell ref="F34:H34"/>
    <mergeCell ref="D35:E35"/>
    <mergeCell ref="C31:E31"/>
    <mergeCell ref="F22:H22"/>
    <mergeCell ref="D23:E23"/>
    <mergeCell ref="F23:H23"/>
    <mergeCell ref="D24:E24"/>
    <mergeCell ref="C22:E22"/>
    <mergeCell ref="C23:C28"/>
    <mergeCell ref="D28:E28"/>
    <mergeCell ref="F28:H28"/>
    <mergeCell ref="J42:L42"/>
    <mergeCell ref="F35:H35"/>
    <mergeCell ref="D36:E36"/>
    <mergeCell ref="F36:H36"/>
    <mergeCell ref="D37:E37"/>
    <mergeCell ref="F37:H37"/>
    <mergeCell ref="D38:E38"/>
    <mergeCell ref="F38:H38"/>
    <mergeCell ref="D40:E40"/>
    <mergeCell ref="F40:H40"/>
    <mergeCell ref="D41:E41"/>
    <mergeCell ref="F41:H41"/>
    <mergeCell ref="K41:L41"/>
    <mergeCell ref="K40:L40"/>
    <mergeCell ref="K37:L37"/>
    <mergeCell ref="K38:L38"/>
    <mergeCell ref="K54:L54"/>
    <mergeCell ref="C29:H29"/>
    <mergeCell ref="J29:L29"/>
    <mergeCell ref="C30:E30"/>
    <mergeCell ref="F30:H30"/>
    <mergeCell ref="C3:I3"/>
    <mergeCell ref="C4:I4"/>
    <mergeCell ref="C5:H5"/>
    <mergeCell ref="C6:I6"/>
    <mergeCell ref="C14:H17"/>
    <mergeCell ref="J14:L16"/>
    <mergeCell ref="C18:H18"/>
    <mergeCell ref="J18:L18"/>
    <mergeCell ref="C19:E19"/>
    <mergeCell ref="F19:H19"/>
    <mergeCell ref="C20:E20"/>
    <mergeCell ref="F20:H20"/>
    <mergeCell ref="C21:E21"/>
    <mergeCell ref="F21:H21"/>
    <mergeCell ref="F24:H24"/>
    <mergeCell ref="D25:E25"/>
    <mergeCell ref="F25:H25"/>
    <mergeCell ref="D26:E26"/>
    <mergeCell ref="F26:H26"/>
    <mergeCell ref="L46:L47"/>
    <mergeCell ref="A2:C2"/>
    <mergeCell ref="D46:E46"/>
    <mergeCell ref="D47:E47"/>
    <mergeCell ref="K19:L19"/>
    <mergeCell ref="K20:L20"/>
    <mergeCell ref="K21:L21"/>
    <mergeCell ref="K22:L22"/>
    <mergeCell ref="K23:L23"/>
    <mergeCell ref="K24:L24"/>
    <mergeCell ref="K25:L25"/>
    <mergeCell ref="K26:L26"/>
    <mergeCell ref="K27:L27"/>
    <mergeCell ref="K28:L28"/>
    <mergeCell ref="K30:L30"/>
    <mergeCell ref="K31:L31"/>
    <mergeCell ref="K32:L32"/>
    <mergeCell ref="K33:L33"/>
    <mergeCell ref="K34:L34"/>
    <mergeCell ref="K35:L35"/>
    <mergeCell ref="K36:L36"/>
    <mergeCell ref="K17:L17"/>
    <mergeCell ref="D27:E27"/>
    <mergeCell ref="F27:H27"/>
    <mergeCell ref="C133:H133"/>
    <mergeCell ref="F62:H62"/>
    <mergeCell ref="C65:E65"/>
    <mergeCell ref="C115:H119"/>
    <mergeCell ref="C120:H120"/>
    <mergeCell ref="K122:L122"/>
    <mergeCell ref="K60:L60"/>
    <mergeCell ref="K61:L61"/>
    <mergeCell ref="K62:L62"/>
    <mergeCell ref="K65:L65"/>
    <mergeCell ref="K66:L66"/>
    <mergeCell ref="K67:L67"/>
    <mergeCell ref="K68:L68"/>
    <mergeCell ref="K69:L69"/>
    <mergeCell ref="J102:L102"/>
    <mergeCell ref="J108:L108"/>
    <mergeCell ref="K83:L83"/>
    <mergeCell ref="C73:E73"/>
    <mergeCell ref="F73:H73"/>
    <mergeCell ref="C71:E71"/>
    <mergeCell ref="F71:H71"/>
    <mergeCell ref="C77:E77"/>
    <mergeCell ref="F77:H77"/>
    <mergeCell ref="C78:H78"/>
    <mergeCell ref="F65:H65"/>
    <mergeCell ref="F64:H64"/>
    <mergeCell ref="C72:E72"/>
    <mergeCell ref="K79:L79"/>
    <mergeCell ref="P115:P120"/>
    <mergeCell ref="J115:L120"/>
    <mergeCell ref="J85:L85"/>
    <mergeCell ref="K84:L84"/>
    <mergeCell ref="C67:E67"/>
    <mergeCell ref="F67:H67"/>
    <mergeCell ref="C68:E68"/>
    <mergeCell ref="F68:H68"/>
    <mergeCell ref="C69:E69"/>
    <mergeCell ref="F69:H69"/>
    <mergeCell ref="C66:E66"/>
    <mergeCell ref="F66:H66"/>
    <mergeCell ref="C70:E70"/>
    <mergeCell ref="F70:H70"/>
    <mergeCell ref="K81:L81"/>
    <mergeCell ref="K82:L82"/>
    <mergeCell ref="K70:L70"/>
    <mergeCell ref="K72:L72"/>
    <mergeCell ref="K74:L74"/>
    <mergeCell ref="K75:L75"/>
    <mergeCell ref="P131:S131"/>
    <mergeCell ref="Q127:S127"/>
    <mergeCell ref="C128:H128"/>
    <mergeCell ref="C129:H130"/>
    <mergeCell ref="C131:H131"/>
    <mergeCell ref="P128:S128"/>
    <mergeCell ref="P129:S129"/>
    <mergeCell ref="P130:S130"/>
    <mergeCell ref="C126:E126"/>
    <mergeCell ref="K123:L123"/>
    <mergeCell ref="K124:L124"/>
    <mergeCell ref="K125:L125"/>
    <mergeCell ref="J110:L110"/>
    <mergeCell ref="K59:L59"/>
    <mergeCell ref="K43:L43"/>
    <mergeCell ref="K44:L44"/>
    <mergeCell ref="K45:L45"/>
    <mergeCell ref="K51:L51"/>
    <mergeCell ref="K53:L53"/>
    <mergeCell ref="K55:L55"/>
    <mergeCell ref="K56:L56"/>
    <mergeCell ref="K57:L57"/>
    <mergeCell ref="K58:L58"/>
    <mergeCell ref="K50:L50"/>
    <mergeCell ref="K52:L52"/>
    <mergeCell ref="K63:L63"/>
    <mergeCell ref="K64:L64"/>
    <mergeCell ref="K73:L73"/>
    <mergeCell ref="K71:L71"/>
    <mergeCell ref="K48:L48"/>
    <mergeCell ref="K49:L49"/>
    <mergeCell ref="K76:L76"/>
    <mergeCell ref="K77:L77"/>
  </mergeCells>
  <conditionalFormatting sqref="F19:H23 F26:H28">
    <cfRule type="cellIs" dxfId="170" priority="187" operator="greaterThan">
      <formula>0</formula>
    </cfRule>
  </conditionalFormatting>
  <conditionalFormatting sqref="F38:H38">
    <cfRule type="cellIs" dxfId="169" priority="186" operator="greaterThan">
      <formula>0</formula>
    </cfRule>
  </conditionalFormatting>
  <conditionalFormatting sqref="F30:H30 F36:H41 F32:H34">
    <cfRule type="cellIs" dxfId="168" priority="185" operator="greaterThan">
      <formula>0</formula>
    </cfRule>
  </conditionalFormatting>
  <conditionalFormatting sqref="F43:H44 F46:H47">
    <cfRule type="cellIs" dxfId="167" priority="183" operator="greaterThan">
      <formula>0</formula>
    </cfRule>
  </conditionalFormatting>
  <conditionalFormatting sqref="F48:H48">
    <cfRule type="cellIs" dxfId="166" priority="182" operator="greaterThan">
      <formula>0</formula>
    </cfRule>
  </conditionalFormatting>
  <conditionalFormatting sqref="F44:H44">
    <cfRule type="cellIs" dxfId="165" priority="181" operator="greaterThan">
      <formula>0</formula>
    </cfRule>
  </conditionalFormatting>
  <conditionalFormatting sqref="F58:H58">
    <cfRule type="cellIs" dxfId="164" priority="178" operator="greaterThan">
      <formula>0</formula>
    </cfRule>
  </conditionalFormatting>
  <conditionalFormatting sqref="F56:H57">
    <cfRule type="cellIs" dxfId="163" priority="177" operator="greaterThan">
      <formula>0</formula>
    </cfRule>
  </conditionalFormatting>
  <conditionalFormatting sqref="F94:H94">
    <cfRule type="cellIs" dxfId="162" priority="175" operator="greaterThan">
      <formula>0</formula>
    </cfRule>
  </conditionalFormatting>
  <conditionalFormatting sqref="F105:H105">
    <cfRule type="cellIs" dxfId="161" priority="173" operator="greaterThan">
      <formula>0</formula>
    </cfRule>
  </conditionalFormatting>
  <conditionalFormatting sqref="F106:H106">
    <cfRule type="cellIs" dxfId="160" priority="171" operator="greaterThan">
      <formula>0</formula>
    </cfRule>
  </conditionalFormatting>
  <conditionalFormatting sqref="F60:H62">
    <cfRule type="cellIs" dxfId="159" priority="170" operator="greaterThan">
      <formula>0</formula>
    </cfRule>
  </conditionalFormatting>
  <conditionalFormatting sqref="F54:H54">
    <cfRule type="cellIs" dxfId="158" priority="169" operator="greaterThan">
      <formula>0</formula>
    </cfRule>
  </conditionalFormatting>
  <conditionalFormatting sqref="F52:H52">
    <cfRule type="cellIs" dxfId="157" priority="168" operator="greaterThan">
      <formula>0</formula>
    </cfRule>
  </conditionalFormatting>
  <conditionalFormatting sqref="F63:H63">
    <cfRule type="cellIs" dxfId="156" priority="167" operator="greaterThan">
      <formula>0</formula>
    </cfRule>
  </conditionalFormatting>
  <conditionalFormatting sqref="F64:H64">
    <cfRule type="cellIs" dxfId="155" priority="165" operator="greaterThan">
      <formula>0</formula>
    </cfRule>
    <cfRule type="cellIs" dxfId="154" priority="166" operator="greaterThan">
      <formula>0</formula>
    </cfRule>
  </conditionalFormatting>
  <conditionalFormatting sqref="F65:H66">
    <cfRule type="cellIs" dxfId="153" priority="163" operator="greaterThan">
      <formula>0</formula>
    </cfRule>
  </conditionalFormatting>
  <conditionalFormatting sqref="F67:H67">
    <cfRule type="cellIs" dxfId="152" priority="162" operator="greaterThan">
      <formula>0</formula>
    </cfRule>
  </conditionalFormatting>
  <conditionalFormatting sqref="F70:H70">
    <cfRule type="cellIs" dxfId="151" priority="157" operator="greaterThan">
      <formula>0</formula>
    </cfRule>
  </conditionalFormatting>
  <conditionalFormatting sqref="F73:H73">
    <cfRule type="cellIs" dxfId="150" priority="155" operator="greaterThan">
      <formula>0</formula>
    </cfRule>
  </conditionalFormatting>
  <conditionalFormatting sqref="F72:H72">
    <cfRule type="cellIs" dxfId="149" priority="156" operator="greaterThan">
      <formula>0</formula>
    </cfRule>
  </conditionalFormatting>
  <conditionalFormatting sqref="F71:H71">
    <cfRule type="cellIs" dxfId="148" priority="154" operator="greaterThan">
      <formula>0</formula>
    </cfRule>
  </conditionalFormatting>
  <conditionalFormatting sqref="F74:H74">
    <cfRule type="cellIs" dxfId="147" priority="153" operator="greaterThan">
      <formula>0</formula>
    </cfRule>
  </conditionalFormatting>
  <conditionalFormatting sqref="F75:H75">
    <cfRule type="cellIs" dxfId="146" priority="152" operator="greaterThan">
      <formula>0</formula>
    </cfRule>
  </conditionalFormatting>
  <conditionalFormatting sqref="F76:H76">
    <cfRule type="cellIs" dxfId="145" priority="151" operator="greaterThan">
      <formula>0</formula>
    </cfRule>
  </conditionalFormatting>
  <conditionalFormatting sqref="F77:H77">
    <cfRule type="cellIs" dxfId="144" priority="150" operator="greaterThan">
      <formula>0</formula>
    </cfRule>
  </conditionalFormatting>
  <conditionalFormatting sqref="F79:H79">
    <cfRule type="cellIs" dxfId="143" priority="149" operator="greaterThan">
      <formula>0</formula>
    </cfRule>
  </conditionalFormatting>
  <conditionalFormatting sqref="F80:H80">
    <cfRule type="cellIs" dxfId="142" priority="148" operator="greaterThan">
      <formula>0</formula>
    </cfRule>
  </conditionalFormatting>
  <conditionalFormatting sqref="F81:H81">
    <cfRule type="cellIs" dxfId="141" priority="147" operator="greaterThan">
      <formula>0</formula>
    </cfRule>
  </conditionalFormatting>
  <conditionalFormatting sqref="F82:H82">
    <cfRule type="cellIs" dxfId="140" priority="146" operator="greaterThan">
      <formula>0</formula>
    </cfRule>
  </conditionalFormatting>
  <conditionalFormatting sqref="F83:H83">
    <cfRule type="cellIs" dxfId="139" priority="145" operator="greaterThan">
      <formula>0</formula>
    </cfRule>
  </conditionalFormatting>
  <conditionalFormatting sqref="F84:H84">
    <cfRule type="cellIs" dxfId="138" priority="144" operator="greaterThan">
      <formula>0</formula>
    </cfRule>
  </conditionalFormatting>
  <conditionalFormatting sqref="F86:H86">
    <cfRule type="cellIs" dxfId="137" priority="143" operator="greaterThan">
      <formula>0</formula>
    </cfRule>
  </conditionalFormatting>
  <conditionalFormatting sqref="F87:H87">
    <cfRule type="cellIs" dxfId="136" priority="142" operator="greaterThan">
      <formula>0</formula>
    </cfRule>
  </conditionalFormatting>
  <conditionalFormatting sqref="F88:H88">
    <cfRule type="cellIs" dxfId="135" priority="141" operator="greaterThan">
      <formula>0</formula>
    </cfRule>
  </conditionalFormatting>
  <conditionalFormatting sqref="F89:H89">
    <cfRule type="cellIs" dxfId="134" priority="140" operator="greaterThan">
      <formula>0</formula>
    </cfRule>
  </conditionalFormatting>
  <conditionalFormatting sqref="F90:H90">
    <cfRule type="cellIs" dxfId="133" priority="139" operator="greaterThan">
      <formula>0</formula>
    </cfRule>
  </conditionalFormatting>
  <conditionalFormatting sqref="F91:H91">
    <cfRule type="cellIs" dxfId="132" priority="138" operator="greaterThan">
      <formula>0</formula>
    </cfRule>
  </conditionalFormatting>
  <conditionalFormatting sqref="F93:H93">
    <cfRule type="cellIs" dxfId="131" priority="137" operator="greaterThan">
      <formula>0</formula>
    </cfRule>
  </conditionalFormatting>
  <conditionalFormatting sqref="F95:H95">
    <cfRule type="cellIs" dxfId="130" priority="136" operator="greaterThan">
      <formula>0</formula>
    </cfRule>
  </conditionalFormatting>
  <conditionalFormatting sqref="F97:H97">
    <cfRule type="cellIs" dxfId="129" priority="135" operator="greaterThan">
      <formula>0</formula>
    </cfRule>
  </conditionalFormatting>
  <conditionalFormatting sqref="F98:H98">
    <cfRule type="cellIs" dxfId="128" priority="134" operator="greaterThan">
      <formula>0</formula>
    </cfRule>
  </conditionalFormatting>
  <conditionalFormatting sqref="F99:H99">
    <cfRule type="cellIs" dxfId="127" priority="133" operator="greaterThan">
      <formula>0</formula>
    </cfRule>
  </conditionalFormatting>
  <conditionalFormatting sqref="F100:H100">
    <cfRule type="cellIs" dxfId="126" priority="132" operator="greaterThan">
      <formula>0</formula>
    </cfRule>
  </conditionalFormatting>
  <conditionalFormatting sqref="F101:H101">
    <cfRule type="cellIs" dxfId="125" priority="131" operator="greaterThan">
      <formula>0</formula>
    </cfRule>
  </conditionalFormatting>
  <conditionalFormatting sqref="F104:H104">
    <cfRule type="cellIs" dxfId="124" priority="125" operator="greaterThan">
      <formula>0</formula>
    </cfRule>
  </conditionalFormatting>
  <conditionalFormatting sqref="F103:H103">
    <cfRule type="cellIs" dxfId="123" priority="126" operator="greaterThan">
      <formula>0</formula>
    </cfRule>
  </conditionalFormatting>
  <conditionalFormatting sqref="H111:H113">
    <cfRule type="cellIs" dxfId="122" priority="123" operator="greaterThan">
      <formula>0</formula>
    </cfRule>
  </conditionalFormatting>
  <conditionalFormatting sqref="F122:H123 F125:H125">
    <cfRule type="cellIs" dxfId="121" priority="121" operator="greaterThan">
      <formula>0</formula>
    </cfRule>
  </conditionalFormatting>
  <conditionalFormatting sqref="F68:H68">
    <cfRule type="cellIs" dxfId="120" priority="120" operator="greaterThan">
      <formula>0</formula>
    </cfRule>
  </conditionalFormatting>
  <conditionalFormatting sqref="F69:H69">
    <cfRule type="cellIs" dxfId="119" priority="119" operator="greaterThan">
      <formula>0</formula>
    </cfRule>
  </conditionalFormatting>
  <conditionalFormatting sqref="F124:H124">
    <cfRule type="cellIs" dxfId="118" priority="5" operator="greaterThan">
      <formula>0</formula>
    </cfRule>
  </conditionalFormatting>
  <conditionalFormatting sqref="H113">
    <cfRule type="cellIs" dxfId="117" priority="4" operator="greaterThan">
      <formula>0</formula>
    </cfRule>
  </conditionalFormatting>
  <conditionalFormatting sqref="F51:H51">
    <cfRule type="cellIs" dxfId="116" priority="3" operator="greaterThan">
      <formula>0</formula>
    </cfRule>
  </conditionalFormatting>
  <conditionalFormatting sqref="F92:H92">
    <cfRule type="cellIs" dxfId="115" priority="2" operator="greaterThan">
      <formula>0</formula>
    </cfRule>
  </conditionalFormatting>
  <conditionalFormatting sqref="F31:H31">
    <cfRule type="cellIs" dxfId="114" priority="1" operator="greaterThan">
      <formula>0</formula>
    </cfRule>
  </conditionalFormatting>
  <dataValidations xWindow="544" yWindow="781" count="39">
    <dataValidation type="whole" operator="greaterThanOrEqual" allowBlank="1" showInputMessage="1" showErrorMessage="1" errorTitle="Orientação" error="Só é permitido digitar os números do telefone sem parênteses e sem o traço." promptTitle="Digite somente números no campo" prompt="_x000a_Campo de preenchimento obrigatório.   " sqref="F40:H40 F124:H124">
      <formula1>0</formula1>
    </dataValidation>
    <dataValidation type="whole" operator="greaterThanOrEqual" allowBlank="1" showInputMessage="1" showErrorMessage="1" errorTitle="Orientação" error="Só é permitido digitar números do telefone sem o parênteses e sem o traço." promptTitle="Digite somente números no campo" prompt="_x000a_Campo de preenchimento obrigatório. " sqref="F39:H39">
      <formula1>0</formula1>
    </dataValidation>
    <dataValidation type="whole" operator="greaterThanOrEqual" allowBlank="1" showInputMessage="1" showErrorMessage="1" errorTitle="Orientação" error="Só é permitido digitar números do CEP sem o ponto e sem o traço." promptTitle="Digite somente números no campo." prompt="_x000a_Campo de preenchimento obrigatório." sqref="F37:H37">
      <formula1>0</formula1>
    </dataValidation>
    <dataValidation operator="greaterThanOrEqual" allowBlank="1" showInputMessage="1" showErrorMessage="1" promptTitle="Digite o complemento se houver." prompt="   " sqref="F35:H35"/>
    <dataValidation type="whole" operator="greaterThanOrEqual" allowBlank="1" showInputMessage="1" showErrorMessage="1" errorTitle="Orientação" error="Só é permitido digitar número neste campo." promptTitle="Digite o número da residência." prompt="_x000a_Campo de preenchimento obrigatório." sqref="F34:H34">
      <formula1>0</formula1>
    </dataValidation>
    <dataValidation type="whole" operator="greaterThanOrEqual" allowBlank="1" showInputMessage="1" showErrorMessage="1" errorTitle="Orientação" error="Só é permitido digitar os números do telefone sem parênteses e sem o traço." promptTitle="Digite somente números no campo." prompt="_x000a_Campo de preenchimento obrigatório." sqref="F27:H27">
      <formula1>0</formula1>
    </dataValidation>
    <dataValidation type="whole" operator="greaterThanOrEqual" allowBlank="1" showInputMessage="1" showErrorMessage="1" errorTitle="Orientação" error="Só é permitido digitar números do CEP sem o ponto e sem o traço." promptTitle="Digite somente números no campo." prompt="   " sqref="F25:H25">
      <formula1>0</formula1>
    </dataValidation>
    <dataValidation type="whole" operator="greaterThanOrEqual" allowBlank="1" showInputMessage="1" showErrorMessage="1" errorTitle="Orientação" error="Só é permitido digitar números do CNPJ sem os pontos, barra e traço." promptTitle="Digite números CNPJ sem pontos." prompt="_x000a_Campo de preenchimento obrigatório, se pessoa jurídica." sqref="F32:H32">
      <formula1>0</formula1>
    </dataValidation>
    <dataValidation type="whole" operator="greaterThan" allowBlank="1" showInputMessage="1" showErrorMessage="1" errorTitle="Orientação" error="Só é permitido digitar números do CNPJ sem os pontos, barra e traço." promptTitle="Digite números CNPJ sem pontos" prompt="_x000a_Campo de preenchimento obrigatório, se pessoa jurídica." sqref="F21:H21">
      <formula1>0</formula1>
    </dataValidation>
    <dataValidation type="whole" operator="greaterThanOrEqual" allowBlank="1" showInputMessage="1" showErrorMessage="1" errorTitle="Orientação" error="Só é permitido digitar números do CPF sem os pontos e o traço." promptTitle="Digite números do CPF sem pontos" prompt="_x000a_Campo de preenchimento obrigatório, se pessoa física." sqref="F20:H20 F31:H31">
      <formula1>0</formula1>
    </dataValidation>
    <dataValidation allowBlank="1" showInputMessage="1" showErrorMessage="1" promptTitle="Digite o nome fantasia          " prompt="_x000a_Campo de preenchimento obrigatório." sqref="F19:H19"/>
    <dataValidation allowBlank="1" showInputMessage="1" showErrorMessage="1" promptTitle="Digite o nome da barragem" prompt="_x000a_Campo de preenchimento obrigatório." sqref="F22:H22"/>
    <dataValidation allowBlank="1" showInputMessage="1" showErrorMessage="1" promptTitle="Digite o logradouro" prompt="_x000a_Campo de preenchimento obrigatório." sqref="F23:H23 F33:H33"/>
    <dataValidation allowBlank="1" showInputMessage="1" showErrorMessage="1" promptTitle="Digite o e-mail" prompt="_x000a_Campo de preenchimento obrigatório." sqref="F28:H28 F41:H41"/>
    <dataValidation allowBlank="1" showInputMessage="1" showErrorMessage="1" promptTitle="Digite o nome do bairro" prompt="   " sqref="F24:H24"/>
    <dataValidation allowBlank="1" showInputMessage="1" showErrorMessage="1" promptTitle="Digite a razão social ou nome" prompt="_x000a_Campo de preenchimento obrigatório." sqref="F30:H30"/>
    <dataValidation allowBlank="1" showInputMessage="1" showErrorMessage="1" promptTitle="Digite o nome do bairro" prompt="_x000a_Campo de preenchimento obrigatório." sqref="F36:H36"/>
    <dataValidation allowBlank="1" showInputMessage="1" showErrorMessage="1" promptTitle="Digite o nome do curso d'água" prompt="_x000a_Campo de preenchimento obrigatório." sqref="F43:H43"/>
    <dataValidation type="whole" operator="greaterThanOrEqual" allowBlank="1" showInputMessage="1" showErrorMessage="1" errorTitle="Orientação" error="_x000a_Só é permitido digitar os números da latitude sem o sinal negativo e ponto." promptTitle="Digite latitude- graus decimais" prompt="_x000a_Campo de preenchimento obrigatório." sqref="F46:H46">
      <formula1>0</formula1>
    </dataValidation>
    <dataValidation type="whole" operator="greaterThanOrEqual" allowBlank="1" showInputMessage="1" showErrorMessage="1" errorTitle="Orientação" error="_x000a_Só é permitido digitar números da LONG sem o sinal negativo e ponto." promptTitle="Digite longitude- graus decimais" prompt="_x000a_Campo de preenchimento obrigatório." sqref="F47:H47">
      <formula1>0</formula1>
    </dataValidation>
    <dataValidation allowBlank="1" showInputMessage="1" showErrorMessage="1" promptTitle="Digite uso principal" prompt="_x000a_Campo de preenchimento obrigatório caso tenha sido selecionado a opção &quot;OUTROS&quot;." sqref="F52:H52"/>
    <dataValidation allowBlank="1" showInputMessage="1" showErrorMessage="1" promptTitle="Digite uso secundário" prompt="_x000a_Campo de preenchimento obrigatório caso tenha sido selecionado a opção &quot;OUTROS&quot;." sqref="F54:H54"/>
    <dataValidation type="date" allowBlank="1" showInputMessage="1" showErrorMessage="1" errorTitle="Orientação" error="Só é permitido digitar data no formato DD/MM/AAAA." promptTitle="Digite data término operação" prompt="_x000a_" sqref="F59:H59">
      <formula1>1</formula1>
      <formula2>73385</formula2>
    </dataValidation>
    <dataValidation type="date" allowBlank="1" showInputMessage="1" showErrorMessage="1" errorTitle="Orientação" error="Só é permitido digitar data no formato DD/MM/AAAA._x000a_" promptTitle="Digite data início construção" prompt="_x000a_Campo de preenchimento obrigatório." sqref="F56:H56">
      <formula1>1</formula1>
      <formula2>73385</formula2>
    </dataValidation>
    <dataValidation type="date" allowBlank="1" showInputMessage="1" showErrorMessage="1" errorTitle="Orientação" error="Só é permitido digitar data no formato DD/MM/AAAA." promptTitle="Digite data fim da construção" prompt="_x000a_Campo de preenchimento obrigatório. " sqref="F57:H57">
      <formula1>1</formula1>
      <formula2>73385</formula2>
    </dataValidation>
    <dataValidation type="date" allowBlank="1" showInputMessage="1" showErrorMessage="1" errorTitle="Orientação" error="Só é permitido digitar data no formato DD/MM/AAAA._x000a_" promptTitle="Digite data próxima inspeção" prompt="_x000a_Campo de preenchimento obrigatório." sqref="F94:H94 F92:H92">
      <formula1>1</formula1>
      <formula2>73385</formula2>
    </dataValidation>
    <dataValidation type="date" allowBlank="1" showInputMessage="1" showErrorMessage="1" errorTitle="Orientação" error="Só é permitido digitar data no formato DD/MM/AAAA._x000a_" promptTitle="Digite data emissão autorização" prompt="_x000a_Campo de preenchimento obrigatório." sqref="F105:H105">
      <formula1>1</formula1>
      <formula2>73385</formula2>
    </dataValidation>
    <dataValidation type="date" allowBlank="1" showInputMessage="1" showErrorMessage="1" errorTitle="Orientação" error="Só é permitido digitar data no formato DD/MM/AAAA._x000a_" promptTitle="Digite validade da autorização" prompt="_x000a_Campo de preenchimento obrigatório." sqref="F106:H106">
      <formula1>1</formula1>
      <formula2>73385</formula2>
    </dataValidation>
    <dataValidation type="whole" operator="greaterThan" allowBlank="1" showInputMessage="1" showErrorMessage="1" errorTitle="Orientação" error="Só é permitido digitar os números referentes a vazão de projeto do extravasor em m3/s com duas casas decimais e sem o ponto." promptTitle="Digite a vazão em m3/s" prompt="_x000a_Campo de preenchimento obrigatório." sqref="F66:H66">
      <formula1>0</formula1>
    </dataValidation>
    <dataValidation type="whole" operator="greaterThan" allowBlank="1" showInputMessage="1" showErrorMessage="1" errorTitle="Orientação" error="_x000a_Só é permitido digitar os números referentes a altura do maciço com duas casas decimais e sem o ponto." promptTitle="Digite somente números sem ponto" prompt="_x000a_Campo de preenchimento obrigatório." sqref="F68:H69">
      <formula1>0</formula1>
    </dataValidation>
    <dataValidation type="whole" operator="greaterThan" allowBlank="1" showInputMessage="1" showErrorMessage="1" errorTitle="Orientação" error="_x000a_Só é permitido digitar os números referentes ao comprimento do maciço com duas casas decimais e sem o ponto." promptTitle="Digite somente números sem ponto" prompt="_x000a_Campo de preenchimento obrigatório." sqref="F70:H70">
      <formula1>0</formula1>
    </dataValidation>
    <dataValidation type="whole" operator="greaterThan" allowBlank="1" showInputMessage="1" showErrorMessage="1" errorTitle="Orientação" error="_x000a_Só é permitido digitar número inteiro para o volume do reservatório em m3." promptTitle="Digite o volume em m3" prompt="_x000a_Campo de preenchimento obrigatório." sqref="F72:H72">
      <formula1>0</formula1>
    </dataValidation>
    <dataValidation type="whole" operator="greaterThan" allowBlank="1" showInputMessage="1" showErrorMessage="1" errorTitle="Orientação" error="_x000a_Só é permitido digitar número inteiro para o comprimento do reservatório." promptTitle="Digite o comprimento em metros" prompt="_x000a_Campo de preenchimento obrigatório." sqref="F73:H73">
      <formula1>0</formula1>
    </dataValidation>
    <dataValidation type="whole" operator="greaterThan" allowBlank="1" showInputMessage="1" showErrorMessage="1" errorTitle="Orientação" error="_x000a_Só é permitido digitar os números referentes à largura do coroamento com duas casas decimais e sem o ponto." promptTitle="Digite somente números sem ponto" prompt="_x000a_Campo de preenchimento obrigatório." sqref="F71:H71">
      <formula1>0</formula1>
    </dataValidation>
    <dataValidation type="whole" operator="greaterThan" allowBlank="1" showInputMessage="1" showErrorMessage="1" errorTitle="Orientação" error="_x000a_Só é permitido digitar número da autorização seguido do ano com 4 dígitos sem a barra." promptTitle="Digite o número da autorização" prompt="_x000a_Campo de preenchimento obrigatório." sqref="F104:H104">
      <formula1>0</formula1>
    </dataValidation>
    <dataValidation type="whole" operator="greaterThan" allowBlank="1" showInputMessage="1" showErrorMessage="1" errorTitle="Orientação" error="_x000a_Só é permitido digitar número inteiro do CNARH." promptTitle="Digite o número do CNARH" prompt="_x000a_" sqref="F107:H107">
      <formula1>0</formula1>
    </dataValidation>
    <dataValidation allowBlank="1" showInputMessage="1" showErrorMessage="1" promptTitle="Digite o nome do responsável" prompt="_x000a_Campo de preenchimento obrigatório." sqref="F122:H122"/>
    <dataValidation allowBlank="1" showInputMessage="1" showErrorMessage="1" promptTitle="Digite o cargo do responsável" prompt="_x000a_Campo de preenchimento obrigatório." sqref="F123:H123"/>
    <dataValidation allowBlank="1" showInputMessage="1" showErrorMessage="1" promptTitle="Digite o e-mail do responsável" prompt="_x000a_Campo de preenchimento obrigatório." sqref="F125:H125"/>
  </dataValidations>
  <pageMargins left="0.511811024" right="0.511811024" top="0.78740157499999996" bottom="0.78740157499999996" header="0.31496062000000002" footer="0.31496062000000002"/>
  <pageSetup paperSize="9" orientation="portrait" r:id="rId1"/>
  <drawing r:id="rId2"/>
  <extLst>
    <ext xmlns:x14="http://schemas.microsoft.com/office/spreadsheetml/2009/9/main" uri="{CCE6A557-97BC-4b89-ADB6-D9C93CAAB3DF}">
      <x14:dataValidations xmlns:xm="http://schemas.microsoft.com/office/excel/2006/main" xWindow="544" yWindow="781" count="37">
        <x14:dataValidation type="list" operator="greaterThan" allowBlank="1" showInputMessage="1" showErrorMessage="1" errorTitle="Orientação" error="_x000a_Só é permitido digitar número inteiro para para idade da barragem em anos." promptTitle="Digite idade da barragem (anos)" prompt="_x000a_Campo de preenchimento obrigatório.">
          <x14:formula1>
            <xm:f>Seleção!$V$2:$V$8</xm:f>
          </x14:formula1>
          <xm:sqref>F77:H77</xm:sqref>
        </x14:dataValidation>
        <x14:dataValidation type="list" allowBlank="1" showInputMessage="1" showErrorMessage="1" errorTitle="Orientação" error="Só é permitido selecionar o tipo de barragem quanto ao material de construção." promptTitle="Selecione o tipo de barragem" prompt="_x000a_Campo de preenchimento obrigatório.">
          <x14:formula1>
            <xm:f>Seleção!$T$2:$T$13</xm:f>
          </x14:formula1>
          <xm:sqref>F74:H74</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Seleção!$X$2:$X$7</xm:f>
          </x14:formula1>
          <xm:sqref>F79:H79</xm:sqref>
        </x14:dataValidation>
        <x14:dataValidation type="list" allowBlank="1" showInputMessage="1" showErrorMessage="1" promptTitle="Selecione domínio curso d'água" prompt="_x000a_Campo de preenchimento obrigatório.">
          <x14:formula1>
            <xm:f>Seleção!$F$2:$F$4</xm:f>
          </x14:formula1>
          <xm:sqref>F44:H44</xm:sqref>
        </x14:dataValidation>
        <x14:dataValidation type="list" allowBlank="1" showInputMessage="1" showErrorMessage="1" errorTitle="Orientação" error="Só é permitido selecionar a UPGRH." promptTitle="Selecione  a UPGRH" prompt="_x000a_Campo de preenchimento obrigatório.">
          <x14:formula1>
            <xm:f>Seleção!$C$2:$C$38</xm:f>
          </x14:formula1>
          <xm:sqref>F48:H48</xm:sqref>
        </x14:dataValidation>
        <x14:dataValidation type="list" allowBlank="1" showInputMessage="1" showErrorMessage="1" errorTitle="Orientação" error="Só é permitido selecionar o tipo de material da fundação da barragem." promptTitle="Selecione tipo material fundação" prompt="_x000a_Campo de preenchimento obrigatório.">
          <x14:formula1>
            <xm:f>Seleção!$U$2:$U$13</xm:f>
          </x14:formula1>
          <xm:sqref>F76:H76</xm:sqref>
        </x14:dataValidation>
        <x14:dataValidation type="list" allowBlank="1" showInputMessage="1" showErrorMessage="1" errorTitle="Orientação" error="Só é permitido selecionar o muinicípio." promptTitle="Selecione o munícipo" prompt="_x000a_Campo de preenchimento obrigatório.">
          <x14:formula1>
            <xm:f>Seleção!$B$2:$B$855</xm:f>
          </x14:formula1>
          <xm:sqref>F38:H38</xm:sqref>
        </x14:dataValidation>
        <x14:dataValidation type="list" allowBlank="1" showInputMessage="1" showErrorMessage="1" errorTitle="Orientação" error="Só é permitido selecionar o município." promptTitle="Selecione o município" prompt="_x000a_Campo de preenchimento obrigatório.">
          <x14:formula1>
            <xm:f>Seleção!$B$2:$B$855</xm:f>
          </x14:formula1>
          <xm:sqref>F26:H26</xm:sqref>
        </x14:dataValidation>
        <x14:dataValidation type="list" allowBlank="1" showInputMessage="1" showErrorMessage="1" errorTitle="Orientação" error="Só é permitido selecionar a situação em que a barragem se encontra. " promptTitle="Selecione a situação de operação" prompt="_x000a_Campo de preenchimento obrigatório.">
          <x14:formula1>
            <xm:f>Seleção!$K$2:$K$5</xm:f>
          </x14:formula1>
          <xm:sqref>F58:H58</xm:sqref>
        </x14:dataValidation>
        <x14:dataValidation type="list" allowBlank="1" showInputMessage="1" showErrorMessage="1" errorTitle="Orientação" error="Só é permitido selecionar se tem projeto de &quot;como construído &quot; - &quot;As Build&quot;." promptTitle="Selecionar &quot;SIM&quot; ou &quot;NÃO&quot;" prompt="_x000a_Campo de preenchimento obrigatório.">
          <x14:formula1>
            <xm:f>Seleção!$L$2:$L$4</xm:f>
          </x14:formula1>
          <xm:sqref>F62:H62</xm:sqref>
        </x14:dataValidation>
        <x14:dataValidation type="list" allowBlank="1" showInputMessage="1" showErrorMessage="1" errorTitle="Orientação" error="Só é permitido selecionar se tem projeto executivo." promptTitle="Selecionar &quot;SIM&quot; ou &quot;NÃO&quot;" prompt="_x000a_Campo de preenchimento obrigatório.">
          <x14:formula1>
            <xm:f>Seleção!$L$2:$L$4</xm:f>
          </x14:formula1>
          <xm:sqref>F61:H61</xm:sqref>
        </x14:dataValidation>
        <x14:dataValidation type="list" allowBlank="1" showInputMessage="1" showErrorMessage="1" errorTitle="Orientação" error="Só é permitido selecionar se tem projeto básico. " promptTitle="Selecionar &quot;SIM&quot; ou &quot;NÃO&quot;" prompt="_x000a_Campo de preenchimento obrigatório.">
          <x14:formula1>
            <xm:f>Seleção!$L$2:$L$4</xm:f>
          </x14:formula1>
          <xm:sqref>F60:H60</xm:sqref>
        </x14:dataValidation>
        <x14:dataValidation type="list" allowBlank="1" showInputMessage="1" showErrorMessage="1" errorTitle="Orientação" error="Só é permitido selecionar se tem sistema extravasor de emergência." promptTitle="Selecionar &quot;SIM&quot; ou &quot;NÃO&quot;" prompt="_x000a_Campo de preenchimento obrigatório.">
          <x14:formula1>
            <xm:f>Seleção!$L$2:$L$4</xm:f>
          </x14:formula1>
          <xm:sqref>F63:H63</xm:sqref>
        </x14:dataValidation>
        <x14:dataValidation type="list" allowBlank="1" showInputMessage="1" showErrorMessage="1" errorTitle="Orientação" error="Só é permitido selecionar o tipo de sistema extravasor." promptTitle="Selecione o tipo extravasor" prompt="_x000a_Campo de preenchimento obrigatório caso tenha sido selecionado a opção &quot;SIM&quot;.">
          <x14:formula1>
            <xm:f>Seleção!$M$2:$M$9</xm:f>
          </x14:formula1>
          <xm:sqref>F64:H64</xm:sqref>
        </x14:dataValidation>
        <x14:dataValidation type="list" allowBlank="1" showInputMessage="1" showErrorMessage="1" errorTitle="Orientação" error="Só é permitido selecionar o controle do extravasor." promptTitle="Selecione o controle extravasor" prompt="_x000a_Campo de preenchimento obrigatório.">
          <x14:formula1>
            <xm:f>Seleção!$O$2:$O$8</xm:f>
          </x14:formula1>
          <xm:sqref>F67:H67</xm:sqref>
        </x14:dataValidation>
        <x14:dataValidation type="list" allowBlank="1" showInputMessage="1" showErrorMessage="1" errorTitle="Orientação" error="Só é permitido selecionar o tipo estrutural da barragem." promptTitle="Selecione o tipo estrutural" prompt="_x000a_Campo de preenchimento obrigatório.">
          <x14:formula1>
            <xm:f>Seleção!$P$2:$P$12</xm:f>
          </x14:formula1>
          <xm:sqref>F75:H75</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Seleção!$Y$2:$Y$6</xm:f>
          </x14:formula1>
          <xm:sqref>F80:H80</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Seleção!$Z$2:$Z$6</xm:f>
          </x14:formula1>
          <xm:sqref>F81:H81</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Seleção!$AA$2:$AA$6</xm:f>
          </x14:formula1>
          <xm:sqref>F82:H82</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Seleção!$AB$2:$AB$6</xm:f>
          </x14:formula1>
          <xm:sqref>F83:H83</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Seleção!$AC$2:$AC$6</xm:f>
          </x14:formula1>
          <xm:sqref>F84:H84</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Seleção!$AD$2:$AD$4</xm:f>
          </x14:formula1>
          <xm:sqref>F86:H86</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Seleção!$AE$2:$AE$7</xm:f>
          </x14:formula1>
          <xm:sqref>F87:H87</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Seleção!$AF$2:$AF$5</xm:f>
          </x14:formula1>
          <xm:sqref>F88:H88</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Seleção!$AG$2:$AG$6</xm:f>
          </x14:formula1>
          <xm:sqref>F89:H89</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Seleção!$AH$2:$AH$4</xm:f>
          </x14:formula1>
          <xm:sqref>F90:H90</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Seleção!$AI$2:$AI$5</xm:f>
          </x14:formula1>
          <xm:sqref>F91:H91</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Seleção!$AJ$2:$AJ$5</xm:f>
          </x14:formula1>
          <xm:sqref>F93:H93</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Seleção!$AK$2:$AK$6</xm:f>
          </x14:formula1>
          <xm:sqref>F95:H95</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Seleção!$AL$2:$AL$6</xm:f>
          </x14:formula1>
          <xm:sqref>F97:H97</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Seleção!$AM$2:$AM$5</xm:f>
          </x14:formula1>
          <xm:sqref>F98:H98</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Seleção!$AN$2:$AN$6</xm:f>
          </x14:formula1>
          <xm:sqref>F99:H99</xm:sqref>
        </x14:dataValidation>
        <x14:dataValidation type="list" allowBlank="1" showInputMessage="1" showErrorMessage="1" errorTitle="Orientação" error="Só é permitido realizar seleção neste campo." promptTitle="Selecione uma alternativa" prompt="_x000a_Campo de preenchimento obrigatório.">
          <x14:formula1>
            <xm:f>Seleção!$A$2:$A$4</xm:f>
          </x14:formula1>
          <xm:sqref>F100:H101</xm:sqref>
        </x14:dataValidation>
        <x14:dataValidation type="list" allowBlank="1" showInputMessage="1" showErrorMessage="1" errorTitle="Orientação" error="Só é permitido selecionar o tipo de autorização. " promptTitle="Selecione o tipo de autorização" prompt="_x000a_Campo de preenchimento obrigatório.">
          <x14:formula1>
            <xm:f>Seleção!$AO$2:$AO$6</xm:f>
          </x14:formula1>
          <xm:sqref>F103:H103</xm:sqref>
        </x14:dataValidation>
        <x14:dataValidation type="list" allowBlank="1" showInputMessage="1" showErrorMessage="1" errorTitle="Orientação" error="Só é permitido selecionar o critério para vazão de projeto do vertedor ou estrutura extravasora." promptTitle="Selecione critério vazão projeto" prompt="_x000a_Campo de preenchimento obritório.">
          <x14:formula1>
            <xm:f>Seleção!$N$2:$N$12</xm:f>
          </x14:formula1>
          <xm:sqref>F65:H65</xm:sqref>
        </x14:dataValidation>
        <x14:dataValidation type="list" allowBlank="1" showInputMessage="1" showErrorMessage="1" errorTitle="Orientação" error="_x000a_Só é permitido selecionar o uso secundário da barragem." promptTitle="Selecione uso secundário" prompt="_x000a_">
          <x14:formula1>
            <xm:f>Seleção!$I$2:$I$20</xm:f>
          </x14:formula1>
          <xm:sqref>F53:H53</xm:sqref>
        </x14:dataValidation>
        <x14:dataValidation type="list" allowBlank="1" showInputMessage="1" showErrorMessage="1" errorTitle="Orientação" error="Só é permitido selecionar o uso principal da barragem." promptTitle="Selecione uso principal" prompt="_x000a_Campo de preenchimento obrigatório.">
          <x14:formula1>
            <xm:f>Seleção!$I$2:$I$20</xm:f>
          </x14:formula1>
          <xm:sqref>F51:H51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3:M119"/>
  <sheetViews>
    <sheetView zoomScale="75" zoomScaleNormal="75" workbookViewId="0">
      <selection activeCell="F125" sqref="F125:H125"/>
    </sheetView>
  </sheetViews>
  <sheetFormatPr defaultColWidth="9.140625" defaultRowHeight="15.75" x14ac:dyDescent="0.25"/>
  <cols>
    <col min="1" max="1" width="19.85546875" style="2" customWidth="1"/>
    <col min="2" max="2" width="9.140625" style="2"/>
    <col min="3" max="3" width="15.140625" style="2" customWidth="1"/>
    <col min="4" max="5" width="12.7109375" style="2" customWidth="1"/>
    <col min="6" max="6" width="35.42578125" style="2" customWidth="1"/>
    <col min="7" max="7" width="4.28515625" style="2" customWidth="1"/>
    <col min="8" max="8" width="18.7109375" style="2" customWidth="1"/>
    <col min="9" max="9" width="14" style="2" customWidth="1"/>
    <col min="10" max="11" width="11.85546875" style="2" customWidth="1"/>
    <col min="12" max="12" width="10.85546875" style="2" customWidth="1"/>
    <col min="13" max="13" width="39" style="2" customWidth="1"/>
    <col min="14" max="16384" width="9.140625" style="2"/>
  </cols>
  <sheetData>
    <row r="3" spans="1:13" ht="21" x14ac:dyDescent="0.35">
      <c r="A3" s="334" t="s">
        <v>1205</v>
      </c>
      <c r="B3" s="334"/>
      <c r="C3" s="334"/>
      <c r="D3" s="334"/>
      <c r="E3" s="334"/>
      <c r="F3" s="334"/>
    </row>
    <row r="6" spans="1:13" ht="18.75" x14ac:dyDescent="0.3">
      <c r="A6" s="390" t="s">
        <v>1411</v>
      </c>
      <c r="B6" s="390"/>
      <c r="C6" s="390"/>
      <c r="D6" s="390"/>
      <c r="E6" s="390"/>
      <c r="F6" s="390"/>
      <c r="H6" s="390" t="s">
        <v>1412</v>
      </c>
      <c r="I6" s="390"/>
      <c r="J6" s="390"/>
      <c r="K6" s="390"/>
      <c r="L6" s="390"/>
      <c r="M6" s="390"/>
    </row>
    <row r="7" spans="1:13" ht="16.5" thickBot="1" x14ac:dyDescent="0.3">
      <c r="A7" s="171"/>
      <c r="B7" s="171"/>
      <c r="C7" s="171"/>
    </row>
    <row r="8" spans="1:13" ht="15.75" customHeight="1" x14ac:dyDescent="0.25">
      <c r="A8" s="242" t="s">
        <v>1140</v>
      </c>
      <c r="B8" s="243"/>
      <c r="C8" s="243"/>
      <c r="D8" s="243"/>
      <c r="E8" s="243"/>
      <c r="F8" s="244"/>
      <c r="H8" s="242" t="s">
        <v>1140</v>
      </c>
      <c r="I8" s="243"/>
      <c r="J8" s="243"/>
      <c r="K8" s="243"/>
      <c r="L8" s="243"/>
      <c r="M8" s="244"/>
    </row>
    <row r="9" spans="1:13" ht="16.5" customHeight="1" x14ac:dyDescent="0.25">
      <c r="A9" s="245"/>
      <c r="B9" s="246"/>
      <c r="C9" s="246"/>
      <c r="D9" s="246"/>
      <c r="E9" s="246"/>
      <c r="F9" s="247"/>
      <c r="H9" s="245"/>
      <c r="I9" s="246"/>
      <c r="J9" s="246"/>
      <c r="K9" s="246"/>
      <c r="L9" s="246"/>
      <c r="M9" s="247"/>
    </row>
    <row r="10" spans="1:13" x14ac:dyDescent="0.25">
      <c r="A10" s="245"/>
      <c r="B10" s="246"/>
      <c r="C10" s="246"/>
      <c r="D10" s="246"/>
      <c r="E10" s="246"/>
      <c r="F10" s="247"/>
      <c r="H10" s="245"/>
      <c r="I10" s="246"/>
      <c r="J10" s="246"/>
      <c r="K10" s="246"/>
      <c r="L10" s="246"/>
      <c r="M10" s="247"/>
    </row>
    <row r="11" spans="1:13" ht="16.5" customHeight="1" thickBot="1" x14ac:dyDescent="0.3">
      <c r="A11" s="248"/>
      <c r="B11" s="249"/>
      <c r="C11" s="249"/>
      <c r="D11" s="249"/>
      <c r="E11" s="249"/>
      <c r="F11" s="250"/>
      <c r="H11" s="248"/>
      <c r="I11" s="249"/>
      <c r="J11" s="249"/>
      <c r="K11" s="249"/>
      <c r="L11" s="249"/>
      <c r="M11" s="250"/>
    </row>
    <row r="12" spans="1:13" ht="16.5" customHeight="1" thickBot="1" x14ac:dyDescent="0.3">
      <c r="A12" s="228" t="s">
        <v>1057</v>
      </c>
      <c r="B12" s="229"/>
      <c r="C12" s="229"/>
      <c r="D12" s="229"/>
      <c r="E12" s="229"/>
      <c r="F12" s="230"/>
      <c r="H12" s="228" t="s">
        <v>1057</v>
      </c>
      <c r="I12" s="229"/>
      <c r="J12" s="229"/>
      <c r="K12" s="229"/>
      <c r="L12" s="229"/>
      <c r="M12" s="230"/>
    </row>
    <row r="13" spans="1:13" ht="15.75" customHeight="1" x14ac:dyDescent="0.25">
      <c r="A13" s="234" t="s">
        <v>23</v>
      </c>
      <c r="B13" s="235"/>
      <c r="C13" s="235"/>
      <c r="D13" s="263" t="s">
        <v>1423</v>
      </c>
      <c r="E13" s="264"/>
      <c r="F13" s="265"/>
      <c r="H13" s="234" t="s">
        <v>23</v>
      </c>
      <c r="I13" s="235"/>
      <c r="J13" s="235"/>
      <c r="K13" s="263" t="s">
        <v>1413</v>
      </c>
      <c r="L13" s="264"/>
      <c r="M13" s="265"/>
    </row>
    <row r="14" spans="1:13" x14ac:dyDescent="0.25">
      <c r="A14" s="266" t="s">
        <v>1216</v>
      </c>
      <c r="B14" s="267"/>
      <c r="C14" s="268"/>
      <c r="D14" s="269">
        <v>130078593</v>
      </c>
      <c r="E14" s="269"/>
      <c r="F14" s="270"/>
      <c r="H14" s="266" t="s">
        <v>1216</v>
      </c>
      <c r="I14" s="267"/>
      <c r="J14" s="268"/>
      <c r="K14" s="269"/>
      <c r="L14" s="269"/>
      <c r="M14" s="270"/>
    </row>
    <row r="15" spans="1:13" x14ac:dyDescent="0.25">
      <c r="A15" s="266" t="s">
        <v>1217</v>
      </c>
      <c r="B15" s="267"/>
      <c r="C15" s="268"/>
      <c r="D15" s="271"/>
      <c r="E15" s="272"/>
      <c r="F15" s="273"/>
      <c r="H15" s="266" t="s">
        <v>1217</v>
      </c>
      <c r="I15" s="267"/>
      <c r="J15" s="268"/>
      <c r="K15" s="271">
        <v>11111111000111</v>
      </c>
      <c r="L15" s="272"/>
      <c r="M15" s="273"/>
    </row>
    <row r="16" spans="1:13" ht="15.75" customHeight="1" x14ac:dyDescent="0.25">
      <c r="A16" s="278" t="s">
        <v>2</v>
      </c>
      <c r="B16" s="279"/>
      <c r="C16" s="279"/>
      <c r="D16" s="172" t="s">
        <v>1405</v>
      </c>
      <c r="E16" s="172"/>
      <c r="F16" s="173"/>
      <c r="H16" s="278" t="s">
        <v>2</v>
      </c>
      <c r="I16" s="279"/>
      <c r="J16" s="279"/>
      <c r="K16" s="172" t="s">
        <v>1405</v>
      </c>
      <c r="L16" s="172"/>
      <c r="M16" s="173"/>
    </row>
    <row r="17" spans="1:13" ht="15.75" customHeight="1" x14ac:dyDescent="0.25">
      <c r="A17" s="280" t="s">
        <v>22</v>
      </c>
      <c r="B17" s="225" t="s">
        <v>1143</v>
      </c>
      <c r="C17" s="225"/>
      <c r="D17" s="172" t="s">
        <v>1406</v>
      </c>
      <c r="E17" s="172"/>
      <c r="F17" s="173"/>
      <c r="H17" s="280" t="s">
        <v>22</v>
      </c>
      <c r="I17" s="225" t="s">
        <v>1143</v>
      </c>
      <c r="J17" s="225"/>
      <c r="K17" s="172" t="s">
        <v>1406</v>
      </c>
      <c r="L17" s="172"/>
      <c r="M17" s="173"/>
    </row>
    <row r="18" spans="1:13" x14ac:dyDescent="0.25">
      <c r="A18" s="280"/>
      <c r="B18" s="225" t="s">
        <v>3</v>
      </c>
      <c r="C18" s="225"/>
      <c r="D18" s="274"/>
      <c r="E18" s="274"/>
      <c r="F18" s="275"/>
      <c r="H18" s="280"/>
      <c r="I18" s="225" t="s">
        <v>3</v>
      </c>
      <c r="J18" s="225"/>
      <c r="K18" s="274"/>
      <c r="L18" s="274"/>
      <c r="M18" s="275"/>
    </row>
    <row r="19" spans="1:13" x14ac:dyDescent="0.25">
      <c r="A19" s="280"/>
      <c r="B19" s="225" t="s">
        <v>5</v>
      </c>
      <c r="C19" s="225"/>
      <c r="D19" s="276"/>
      <c r="E19" s="276"/>
      <c r="F19" s="277"/>
      <c r="H19" s="280"/>
      <c r="I19" s="225" t="s">
        <v>5</v>
      </c>
      <c r="J19" s="225"/>
      <c r="K19" s="276"/>
      <c r="L19" s="276"/>
      <c r="M19" s="277"/>
    </row>
    <row r="20" spans="1:13" x14ac:dyDescent="0.25">
      <c r="A20" s="280"/>
      <c r="B20" s="225" t="s">
        <v>6</v>
      </c>
      <c r="C20" s="225"/>
      <c r="D20" s="274" t="s">
        <v>73</v>
      </c>
      <c r="E20" s="274"/>
      <c r="F20" s="275"/>
      <c r="H20" s="280"/>
      <c r="I20" s="225" t="s">
        <v>6</v>
      </c>
      <c r="J20" s="225"/>
      <c r="K20" s="274" t="s">
        <v>87</v>
      </c>
      <c r="L20" s="274"/>
      <c r="M20" s="275"/>
    </row>
    <row r="21" spans="1:13" x14ac:dyDescent="0.25">
      <c r="A21" s="280"/>
      <c r="B21" s="225" t="s">
        <v>7</v>
      </c>
      <c r="C21" s="225"/>
      <c r="D21" s="226">
        <v>3188881111</v>
      </c>
      <c r="E21" s="226"/>
      <c r="F21" s="227"/>
      <c r="H21" s="280"/>
      <c r="I21" s="225" t="s">
        <v>7</v>
      </c>
      <c r="J21" s="225"/>
      <c r="K21" s="226">
        <v>3122223333</v>
      </c>
      <c r="L21" s="226"/>
      <c r="M21" s="227"/>
    </row>
    <row r="22" spans="1:13" ht="16.5" thickBot="1" x14ac:dyDescent="0.3">
      <c r="A22" s="281"/>
      <c r="B22" s="282" t="s">
        <v>1182</v>
      </c>
      <c r="C22" s="282"/>
      <c r="D22" s="283" t="s">
        <v>1424</v>
      </c>
      <c r="E22" s="284"/>
      <c r="F22" s="285"/>
      <c r="H22" s="281"/>
      <c r="I22" s="282" t="s">
        <v>1182</v>
      </c>
      <c r="J22" s="282"/>
      <c r="K22" s="283" t="s">
        <v>1414</v>
      </c>
      <c r="L22" s="284"/>
      <c r="M22" s="285"/>
    </row>
    <row r="23" spans="1:13" ht="16.5" customHeight="1" thickBot="1" x14ac:dyDescent="0.3">
      <c r="A23" s="228" t="s">
        <v>0</v>
      </c>
      <c r="B23" s="229"/>
      <c r="C23" s="229"/>
      <c r="D23" s="229"/>
      <c r="E23" s="229"/>
      <c r="F23" s="230"/>
      <c r="H23" s="228" t="s">
        <v>0</v>
      </c>
      <c r="I23" s="229"/>
      <c r="J23" s="229"/>
      <c r="K23" s="229"/>
      <c r="L23" s="229"/>
      <c r="M23" s="230"/>
    </row>
    <row r="24" spans="1:13" ht="15.75" customHeight="1" x14ac:dyDescent="0.25">
      <c r="A24" s="234" t="s">
        <v>1</v>
      </c>
      <c r="B24" s="235"/>
      <c r="C24" s="235"/>
      <c r="D24" s="236" t="s">
        <v>1423</v>
      </c>
      <c r="E24" s="236"/>
      <c r="F24" s="237"/>
      <c r="H24" s="234" t="s">
        <v>1</v>
      </c>
      <c r="I24" s="235"/>
      <c r="J24" s="235"/>
      <c r="K24" s="236" t="s">
        <v>1415</v>
      </c>
      <c r="L24" s="236"/>
      <c r="M24" s="237"/>
    </row>
    <row r="25" spans="1:13" x14ac:dyDescent="0.25">
      <c r="A25" s="266" t="s">
        <v>1216</v>
      </c>
      <c r="B25" s="267"/>
      <c r="C25" s="268"/>
      <c r="D25" s="269">
        <v>130078593</v>
      </c>
      <c r="E25" s="269"/>
      <c r="F25" s="270"/>
      <c r="H25" s="266" t="s">
        <v>1216</v>
      </c>
      <c r="I25" s="267"/>
      <c r="J25" s="268"/>
      <c r="K25" s="269"/>
      <c r="L25" s="269"/>
      <c r="M25" s="270"/>
    </row>
    <row r="26" spans="1:13" x14ac:dyDescent="0.25">
      <c r="A26" s="266" t="s">
        <v>1217</v>
      </c>
      <c r="B26" s="267"/>
      <c r="C26" s="268"/>
      <c r="D26" s="271"/>
      <c r="E26" s="272"/>
      <c r="F26" s="273"/>
      <c r="H26" s="266" t="s">
        <v>1217</v>
      </c>
      <c r="I26" s="267"/>
      <c r="J26" s="268"/>
      <c r="K26" s="271">
        <v>11111111000111</v>
      </c>
      <c r="L26" s="272"/>
      <c r="M26" s="273"/>
    </row>
    <row r="27" spans="1:13" ht="15.75" customHeight="1" x14ac:dyDescent="0.25">
      <c r="A27" s="312" t="s">
        <v>1145</v>
      </c>
      <c r="B27" s="225" t="s">
        <v>1143</v>
      </c>
      <c r="C27" s="225"/>
      <c r="D27" s="172" t="s">
        <v>1425</v>
      </c>
      <c r="E27" s="172"/>
      <c r="F27" s="173"/>
      <c r="H27" s="312" t="s">
        <v>1145</v>
      </c>
      <c r="I27" s="225" t="s">
        <v>1143</v>
      </c>
      <c r="J27" s="225"/>
      <c r="K27" s="172" t="s">
        <v>1416</v>
      </c>
      <c r="L27" s="172"/>
      <c r="M27" s="173"/>
    </row>
    <row r="28" spans="1:13" x14ac:dyDescent="0.25">
      <c r="A28" s="313"/>
      <c r="B28" s="225" t="s">
        <v>1144</v>
      </c>
      <c r="C28" s="225"/>
      <c r="D28" s="274">
        <v>245</v>
      </c>
      <c r="E28" s="274"/>
      <c r="F28" s="275"/>
      <c r="H28" s="313"/>
      <c r="I28" s="225" t="s">
        <v>1144</v>
      </c>
      <c r="J28" s="225"/>
      <c r="K28" s="274">
        <v>345</v>
      </c>
      <c r="L28" s="274"/>
      <c r="M28" s="275"/>
    </row>
    <row r="29" spans="1:13" x14ac:dyDescent="0.25">
      <c r="A29" s="313"/>
      <c r="B29" s="225" t="s">
        <v>4</v>
      </c>
      <c r="C29" s="225"/>
      <c r="D29" s="274"/>
      <c r="E29" s="274"/>
      <c r="F29" s="275"/>
      <c r="H29" s="313"/>
      <c r="I29" s="225" t="s">
        <v>4</v>
      </c>
      <c r="J29" s="225"/>
      <c r="K29" s="274">
        <v>303</v>
      </c>
      <c r="L29" s="274"/>
      <c r="M29" s="275"/>
    </row>
    <row r="30" spans="1:13" x14ac:dyDescent="0.25">
      <c r="A30" s="313"/>
      <c r="B30" s="289" t="s">
        <v>3</v>
      </c>
      <c r="C30" s="290"/>
      <c r="D30" s="291" t="s">
        <v>1206</v>
      </c>
      <c r="E30" s="292"/>
      <c r="F30" s="293"/>
      <c r="H30" s="313"/>
      <c r="I30" s="289" t="s">
        <v>3</v>
      </c>
      <c r="J30" s="290"/>
      <c r="K30" s="291" t="s">
        <v>1206</v>
      </c>
      <c r="L30" s="292"/>
      <c r="M30" s="293"/>
    </row>
    <row r="31" spans="1:13" x14ac:dyDescent="0.25">
      <c r="A31" s="313"/>
      <c r="B31" s="225" t="s">
        <v>5</v>
      </c>
      <c r="C31" s="225"/>
      <c r="D31" s="276">
        <v>30960000</v>
      </c>
      <c r="E31" s="276"/>
      <c r="F31" s="277"/>
      <c r="H31" s="313"/>
      <c r="I31" s="225" t="s">
        <v>5</v>
      </c>
      <c r="J31" s="225"/>
      <c r="K31" s="276">
        <v>31911000</v>
      </c>
      <c r="L31" s="276"/>
      <c r="M31" s="277"/>
    </row>
    <row r="32" spans="1:13" x14ac:dyDescent="0.25">
      <c r="A32" s="313"/>
      <c r="B32" s="225" t="s">
        <v>6</v>
      </c>
      <c r="C32" s="225"/>
      <c r="D32" s="274" t="s">
        <v>73</v>
      </c>
      <c r="E32" s="274"/>
      <c r="F32" s="275"/>
      <c r="H32" s="313"/>
      <c r="I32" s="225" t="s">
        <v>6</v>
      </c>
      <c r="J32" s="225"/>
      <c r="K32" s="274" t="s">
        <v>87</v>
      </c>
      <c r="L32" s="274"/>
      <c r="M32" s="275"/>
    </row>
    <row r="33" spans="1:13" x14ac:dyDescent="0.25">
      <c r="A33" s="313"/>
      <c r="B33" s="225" t="s">
        <v>1061</v>
      </c>
      <c r="C33" s="225"/>
      <c r="D33" s="226">
        <v>3188998899</v>
      </c>
      <c r="E33" s="226"/>
      <c r="F33" s="227"/>
      <c r="H33" s="313"/>
      <c r="I33" s="225" t="s">
        <v>1061</v>
      </c>
      <c r="J33" s="225"/>
      <c r="K33" s="226">
        <v>3133334444</v>
      </c>
      <c r="L33" s="226"/>
      <c r="M33" s="227"/>
    </row>
    <row r="34" spans="1:13" x14ac:dyDescent="0.25">
      <c r="A34" s="313"/>
      <c r="B34" s="225" t="s">
        <v>1062</v>
      </c>
      <c r="C34" s="225"/>
      <c r="D34" s="294">
        <v>31988781247</v>
      </c>
      <c r="E34" s="294"/>
      <c r="F34" s="295"/>
      <c r="H34" s="313"/>
      <c r="I34" s="225" t="s">
        <v>1062</v>
      </c>
      <c r="J34" s="225"/>
      <c r="K34" s="294">
        <v>31933334444</v>
      </c>
      <c r="L34" s="294"/>
      <c r="M34" s="295"/>
    </row>
    <row r="35" spans="1:13" ht="16.5" thickBot="1" x14ac:dyDescent="0.3">
      <c r="A35" s="313"/>
      <c r="B35" s="282" t="s">
        <v>1182</v>
      </c>
      <c r="C35" s="282"/>
      <c r="D35" s="283" t="s">
        <v>1424</v>
      </c>
      <c r="E35" s="284"/>
      <c r="F35" s="285"/>
      <c r="H35" s="313"/>
      <c r="I35" s="282" t="s">
        <v>1182</v>
      </c>
      <c r="J35" s="282"/>
      <c r="K35" s="283" t="s">
        <v>1414</v>
      </c>
      <c r="L35" s="284"/>
      <c r="M35" s="285"/>
    </row>
    <row r="36" spans="1:13" ht="16.5" thickBot="1" x14ac:dyDescent="0.3">
      <c r="A36" s="300" t="s">
        <v>27</v>
      </c>
      <c r="B36" s="301"/>
      <c r="C36" s="301"/>
      <c r="D36" s="301"/>
      <c r="E36" s="301"/>
      <c r="F36" s="302"/>
      <c r="H36" s="300" t="s">
        <v>27</v>
      </c>
      <c r="I36" s="301"/>
      <c r="J36" s="301"/>
      <c r="K36" s="301"/>
      <c r="L36" s="301"/>
      <c r="M36" s="302"/>
    </row>
    <row r="37" spans="1:13" ht="15.75" customHeight="1" x14ac:dyDescent="0.25">
      <c r="A37" s="308" t="s">
        <v>1146</v>
      </c>
      <c r="B37" s="309"/>
      <c r="C37" s="309"/>
      <c r="D37" s="236" t="s">
        <v>1407</v>
      </c>
      <c r="E37" s="310"/>
      <c r="F37" s="311"/>
      <c r="H37" s="308" t="s">
        <v>1146</v>
      </c>
      <c r="I37" s="309"/>
      <c r="J37" s="309"/>
      <c r="K37" s="236" t="s">
        <v>1407</v>
      </c>
      <c r="L37" s="310"/>
      <c r="M37" s="311"/>
    </row>
    <row r="38" spans="1:13" x14ac:dyDescent="0.25">
      <c r="A38" s="296" t="s">
        <v>1394</v>
      </c>
      <c r="B38" s="297"/>
      <c r="C38" s="297"/>
      <c r="D38" s="298" t="s">
        <v>25</v>
      </c>
      <c r="E38" s="298"/>
      <c r="F38" s="299"/>
      <c r="H38" s="296" t="s">
        <v>1394</v>
      </c>
      <c r="I38" s="297"/>
      <c r="J38" s="297"/>
      <c r="K38" s="298" t="s">
        <v>25</v>
      </c>
      <c r="L38" s="298"/>
      <c r="M38" s="299"/>
    </row>
    <row r="39" spans="1:13" ht="15.75" customHeight="1" x14ac:dyDescent="0.25">
      <c r="A39" s="303" t="s">
        <v>1149</v>
      </c>
      <c r="B39" s="297" t="s">
        <v>15</v>
      </c>
      <c r="C39" s="297"/>
      <c r="D39" s="388" t="s">
        <v>16</v>
      </c>
      <c r="E39" s="388"/>
      <c r="F39" s="389"/>
      <c r="H39" s="303" t="s">
        <v>1149</v>
      </c>
      <c r="I39" s="297" t="s">
        <v>15</v>
      </c>
      <c r="J39" s="297"/>
      <c r="K39" s="388" t="s">
        <v>16</v>
      </c>
      <c r="L39" s="388"/>
      <c r="M39" s="389"/>
    </row>
    <row r="40" spans="1:13" x14ac:dyDescent="0.25">
      <c r="A40" s="303"/>
      <c r="B40" s="219" t="s">
        <v>1207</v>
      </c>
      <c r="C40" s="220"/>
      <c r="D40" s="306">
        <v>20000000</v>
      </c>
      <c r="E40" s="306"/>
      <c r="F40" s="307"/>
      <c r="H40" s="303"/>
      <c r="I40" s="219" t="s">
        <v>1207</v>
      </c>
      <c r="J40" s="220"/>
      <c r="K40" s="306">
        <v>20000000</v>
      </c>
      <c r="L40" s="306"/>
      <c r="M40" s="307"/>
    </row>
    <row r="41" spans="1:13" ht="31.5" customHeight="1" x14ac:dyDescent="0.25">
      <c r="A41" s="303"/>
      <c r="B41" s="219" t="s">
        <v>1208</v>
      </c>
      <c r="C41" s="220"/>
      <c r="D41" s="306">
        <v>40000000</v>
      </c>
      <c r="E41" s="306"/>
      <c r="F41" s="307"/>
      <c r="H41" s="303"/>
      <c r="I41" s="219" t="s">
        <v>1208</v>
      </c>
      <c r="J41" s="220"/>
      <c r="K41" s="306">
        <v>40000000</v>
      </c>
      <c r="L41" s="306"/>
      <c r="M41" s="307"/>
    </row>
    <row r="42" spans="1:13" ht="15.75" customHeight="1" x14ac:dyDescent="0.25">
      <c r="A42" s="266" t="s">
        <v>8</v>
      </c>
      <c r="B42" s="267"/>
      <c r="C42" s="268"/>
      <c r="D42" s="291" t="s">
        <v>921</v>
      </c>
      <c r="E42" s="292"/>
      <c r="F42" s="293"/>
      <c r="H42" s="266" t="s">
        <v>8</v>
      </c>
      <c r="I42" s="267"/>
      <c r="J42" s="268"/>
      <c r="K42" s="291" t="s">
        <v>921</v>
      </c>
      <c r="L42" s="292"/>
      <c r="M42" s="293"/>
    </row>
    <row r="43" spans="1:13" x14ac:dyDescent="0.25">
      <c r="A43" s="280" t="s">
        <v>1148</v>
      </c>
      <c r="B43" s="225"/>
      <c r="C43" s="225"/>
      <c r="D43" s="274"/>
      <c r="E43" s="274"/>
      <c r="F43" s="275"/>
      <c r="H43" s="280" t="s">
        <v>1148</v>
      </c>
      <c r="I43" s="225"/>
      <c r="J43" s="225"/>
      <c r="K43" s="274"/>
      <c r="L43" s="274"/>
      <c r="M43" s="275"/>
    </row>
    <row r="44" spans="1:13" x14ac:dyDescent="0.25">
      <c r="A44" s="280" t="s">
        <v>1147</v>
      </c>
      <c r="B44" s="225"/>
      <c r="C44" s="225"/>
      <c r="D44" s="274"/>
      <c r="E44" s="274"/>
      <c r="F44" s="275"/>
      <c r="H44" s="280" t="s">
        <v>1147</v>
      </c>
      <c r="I44" s="225"/>
      <c r="J44" s="225"/>
      <c r="K44" s="274"/>
      <c r="L44" s="274"/>
      <c r="M44" s="275"/>
    </row>
    <row r="45" spans="1:13" ht="15.75" customHeight="1" x14ac:dyDescent="0.25">
      <c r="A45" s="312" t="s">
        <v>1260</v>
      </c>
      <c r="B45" s="289" t="s">
        <v>1259</v>
      </c>
      <c r="C45" s="290"/>
      <c r="D45" s="172" t="s">
        <v>970</v>
      </c>
      <c r="E45" s="172"/>
      <c r="F45" s="173"/>
      <c r="H45" s="312" t="s">
        <v>1260</v>
      </c>
      <c r="I45" s="289" t="s">
        <v>1259</v>
      </c>
      <c r="J45" s="290"/>
      <c r="K45" s="172" t="s">
        <v>1247</v>
      </c>
      <c r="L45" s="172"/>
      <c r="M45" s="173"/>
    </row>
    <row r="46" spans="1:13" ht="34.5" customHeight="1" x14ac:dyDescent="0.25">
      <c r="A46" s="234"/>
      <c r="B46" s="314" t="s">
        <v>1274</v>
      </c>
      <c r="C46" s="315"/>
      <c r="D46" s="174"/>
      <c r="E46" s="175"/>
      <c r="F46" s="176"/>
      <c r="H46" s="234"/>
      <c r="I46" s="314" t="s">
        <v>1274</v>
      </c>
      <c r="J46" s="315"/>
      <c r="K46" s="174"/>
      <c r="L46" s="175"/>
      <c r="M46" s="176"/>
    </row>
    <row r="47" spans="1:13" ht="15.75" customHeight="1" x14ac:dyDescent="0.25">
      <c r="A47" s="177" t="s">
        <v>1261</v>
      </c>
      <c r="B47" s="289" t="s">
        <v>1259</v>
      </c>
      <c r="C47" s="290"/>
      <c r="D47" s="192" t="s">
        <v>971</v>
      </c>
      <c r="E47" s="192"/>
      <c r="F47" s="193"/>
      <c r="H47" s="177" t="s">
        <v>1261</v>
      </c>
      <c r="I47" s="289" t="s">
        <v>1259</v>
      </c>
      <c r="J47" s="290"/>
      <c r="K47" s="192" t="s">
        <v>1247</v>
      </c>
      <c r="L47" s="192"/>
      <c r="M47" s="193"/>
    </row>
    <row r="48" spans="1:13" ht="15.75" customHeight="1" x14ac:dyDescent="0.25">
      <c r="A48" s="177"/>
      <c r="B48" s="314" t="s">
        <v>1274</v>
      </c>
      <c r="C48" s="315"/>
      <c r="D48" s="174"/>
      <c r="E48" s="175"/>
      <c r="F48" s="176"/>
      <c r="H48" s="177"/>
      <c r="I48" s="314" t="s">
        <v>1274</v>
      </c>
      <c r="J48" s="315"/>
      <c r="K48" s="174"/>
      <c r="L48" s="175"/>
      <c r="M48" s="176"/>
    </row>
    <row r="49" spans="1:13" x14ac:dyDescent="0.25">
      <c r="A49" s="319" t="s">
        <v>1150</v>
      </c>
      <c r="B49" s="320"/>
      <c r="C49" s="320"/>
      <c r="D49" s="192"/>
      <c r="E49" s="192"/>
      <c r="F49" s="193"/>
      <c r="H49" s="319" t="s">
        <v>1150</v>
      </c>
      <c r="I49" s="320"/>
      <c r="J49" s="320"/>
      <c r="K49" s="192"/>
      <c r="L49" s="192"/>
      <c r="M49" s="193"/>
    </row>
    <row r="50" spans="1:13" x14ac:dyDescent="0.25">
      <c r="A50" s="280" t="s">
        <v>1151</v>
      </c>
      <c r="B50" s="225"/>
      <c r="C50" s="225"/>
      <c r="D50" s="317">
        <v>42401</v>
      </c>
      <c r="E50" s="317"/>
      <c r="F50" s="318"/>
      <c r="H50" s="280" t="s">
        <v>1151</v>
      </c>
      <c r="I50" s="225"/>
      <c r="J50" s="225"/>
      <c r="K50" s="317">
        <v>42401</v>
      </c>
      <c r="L50" s="317"/>
      <c r="M50" s="318"/>
    </row>
    <row r="51" spans="1:13" x14ac:dyDescent="0.25">
      <c r="A51" s="280" t="s">
        <v>1152</v>
      </c>
      <c r="B51" s="225"/>
      <c r="C51" s="225"/>
      <c r="D51" s="317">
        <v>42462</v>
      </c>
      <c r="E51" s="317"/>
      <c r="F51" s="318"/>
      <c r="H51" s="280" t="s">
        <v>1152</v>
      </c>
      <c r="I51" s="225"/>
      <c r="J51" s="225"/>
      <c r="K51" s="317">
        <v>42402</v>
      </c>
      <c r="L51" s="317"/>
      <c r="M51" s="318"/>
    </row>
    <row r="52" spans="1:13" ht="15.75" customHeight="1" x14ac:dyDescent="0.25">
      <c r="A52" s="319" t="s">
        <v>1263</v>
      </c>
      <c r="B52" s="320"/>
      <c r="C52" s="320"/>
      <c r="D52" s="192" t="s">
        <v>985</v>
      </c>
      <c r="E52" s="192"/>
      <c r="F52" s="193"/>
      <c r="H52" s="319" t="s">
        <v>1263</v>
      </c>
      <c r="I52" s="320"/>
      <c r="J52" s="320"/>
      <c r="K52" s="192" t="s">
        <v>985</v>
      </c>
      <c r="L52" s="192"/>
      <c r="M52" s="193"/>
    </row>
    <row r="53" spans="1:13" ht="15.75" customHeight="1" x14ac:dyDescent="0.25">
      <c r="A53" s="177" t="s">
        <v>9</v>
      </c>
      <c r="B53" s="178"/>
      <c r="C53" s="178"/>
      <c r="D53" s="317">
        <v>49706</v>
      </c>
      <c r="E53" s="317"/>
      <c r="F53" s="318"/>
      <c r="H53" s="177" t="s">
        <v>9</v>
      </c>
      <c r="I53" s="178"/>
      <c r="J53" s="178"/>
      <c r="K53" s="317">
        <v>60664</v>
      </c>
      <c r="L53" s="317"/>
      <c r="M53" s="318"/>
    </row>
    <row r="54" spans="1:13" x14ac:dyDescent="0.25">
      <c r="A54" s="319" t="s">
        <v>1273</v>
      </c>
      <c r="B54" s="320"/>
      <c r="C54" s="320"/>
      <c r="D54" s="192" t="s">
        <v>1015</v>
      </c>
      <c r="E54" s="192"/>
      <c r="F54" s="193"/>
      <c r="H54" s="319" t="s">
        <v>1273</v>
      </c>
      <c r="I54" s="320"/>
      <c r="J54" s="320"/>
      <c r="K54" s="192" t="s">
        <v>1014</v>
      </c>
      <c r="L54" s="192"/>
      <c r="M54" s="193"/>
    </row>
    <row r="55" spans="1:13" x14ac:dyDescent="0.25">
      <c r="A55" s="280" t="s">
        <v>1272</v>
      </c>
      <c r="B55" s="225"/>
      <c r="C55" s="225"/>
      <c r="D55" s="192" t="s">
        <v>1015</v>
      </c>
      <c r="E55" s="192"/>
      <c r="F55" s="193"/>
      <c r="H55" s="280" t="s">
        <v>1272</v>
      </c>
      <c r="I55" s="225"/>
      <c r="J55" s="225"/>
      <c r="K55" s="192" t="s">
        <v>1014</v>
      </c>
      <c r="L55" s="192"/>
      <c r="M55" s="193"/>
    </row>
    <row r="56" spans="1:13" ht="32.25" customHeight="1" x14ac:dyDescent="0.25">
      <c r="A56" s="177" t="s">
        <v>1271</v>
      </c>
      <c r="B56" s="178"/>
      <c r="C56" s="178"/>
      <c r="D56" s="192" t="s">
        <v>1015</v>
      </c>
      <c r="E56" s="192"/>
      <c r="F56" s="193"/>
      <c r="H56" s="177" t="s">
        <v>1271</v>
      </c>
      <c r="I56" s="178"/>
      <c r="J56" s="178"/>
      <c r="K56" s="192" t="s">
        <v>1014</v>
      </c>
      <c r="L56" s="192"/>
      <c r="M56" s="193"/>
    </row>
    <row r="57" spans="1:13" ht="15.75" customHeight="1" x14ac:dyDescent="0.25">
      <c r="A57" s="177" t="s">
        <v>1279</v>
      </c>
      <c r="B57" s="316" t="s">
        <v>1276</v>
      </c>
      <c r="C57" s="268"/>
      <c r="D57" s="192" t="s">
        <v>1014</v>
      </c>
      <c r="E57" s="192"/>
      <c r="F57" s="193"/>
      <c r="H57" s="177" t="s">
        <v>1279</v>
      </c>
      <c r="I57" s="316" t="s">
        <v>1276</v>
      </c>
      <c r="J57" s="268"/>
      <c r="K57" s="192" t="s">
        <v>1014</v>
      </c>
      <c r="L57" s="192"/>
      <c r="M57" s="193"/>
    </row>
    <row r="58" spans="1:13" ht="33" customHeight="1" x14ac:dyDescent="0.25">
      <c r="A58" s="177"/>
      <c r="B58" s="316" t="s">
        <v>1275</v>
      </c>
      <c r="C58" s="268"/>
      <c r="D58" s="174" t="s">
        <v>1281</v>
      </c>
      <c r="E58" s="175"/>
      <c r="F58" s="176"/>
      <c r="H58" s="177"/>
      <c r="I58" s="316" t="s">
        <v>1275</v>
      </c>
      <c r="J58" s="268"/>
      <c r="K58" s="174" t="s">
        <v>1285</v>
      </c>
      <c r="L58" s="175"/>
      <c r="M58" s="176"/>
    </row>
    <row r="59" spans="1:13" ht="42.75" customHeight="1" x14ac:dyDescent="0.25">
      <c r="A59" s="177" t="s">
        <v>1209</v>
      </c>
      <c r="B59" s="178"/>
      <c r="C59" s="178"/>
      <c r="D59" s="374" t="s">
        <v>1317</v>
      </c>
      <c r="E59" s="374"/>
      <c r="F59" s="375"/>
      <c r="H59" s="177" t="s">
        <v>1209</v>
      </c>
      <c r="I59" s="178"/>
      <c r="J59" s="178"/>
      <c r="K59" s="172" t="s">
        <v>1299</v>
      </c>
      <c r="L59" s="172"/>
      <c r="M59" s="173"/>
    </row>
    <row r="60" spans="1:13" ht="28.5" customHeight="1" x14ac:dyDescent="0.25">
      <c r="A60" s="177" t="s">
        <v>1211</v>
      </c>
      <c r="B60" s="178"/>
      <c r="C60" s="178"/>
      <c r="D60" s="194">
        <v>5</v>
      </c>
      <c r="E60" s="194"/>
      <c r="F60" s="195"/>
      <c r="H60" s="177" t="s">
        <v>1211</v>
      </c>
      <c r="I60" s="178"/>
      <c r="J60" s="178"/>
      <c r="K60" s="194">
        <v>1500</v>
      </c>
      <c r="L60" s="194"/>
      <c r="M60" s="195"/>
    </row>
    <row r="61" spans="1:13" ht="23.25" customHeight="1" x14ac:dyDescent="0.25">
      <c r="A61" s="177" t="s">
        <v>1321</v>
      </c>
      <c r="B61" s="178"/>
      <c r="C61" s="178"/>
      <c r="D61" s="192" t="s">
        <v>1051</v>
      </c>
      <c r="E61" s="192"/>
      <c r="F61" s="193"/>
      <c r="H61" s="177" t="s">
        <v>1321</v>
      </c>
      <c r="I61" s="178"/>
      <c r="J61" s="178"/>
      <c r="K61" s="192" t="s">
        <v>1051</v>
      </c>
      <c r="L61" s="192"/>
      <c r="M61" s="193"/>
    </row>
    <row r="62" spans="1:13" ht="39" customHeight="1" x14ac:dyDescent="0.25">
      <c r="A62" s="177" t="s">
        <v>1153</v>
      </c>
      <c r="B62" s="178"/>
      <c r="C62" s="178"/>
      <c r="D62" s="194">
        <v>1000</v>
      </c>
      <c r="E62" s="194"/>
      <c r="F62" s="195"/>
      <c r="H62" s="177" t="s">
        <v>1153</v>
      </c>
      <c r="I62" s="178"/>
      <c r="J62" s="178"/>
      <c r="K62" s="194">
        <v>2200</v>
      </c>
      <c r="L62" s="194"/>
      <c r="M62" s="195"/>
    </row>
    <row r="63" spans="1:13" ht="41.25" customHeight="1" x14ac:dyDescent="0.25">
      <c r="A63" s="177" t="s">
        <v>1154</v>
      </c>
      <c r="B63" s="178"/>
      <c r="C63" s="178"/>
      <c r="D63" s="194">
        <v>800</v>
      </c>
      <c r="E63" s="194"/>
      <c r="F63" s="195"/>
      <c r="H63" s="177" t="s">
        <v>1154</v>
      </c>
      <c r="I63" s="178"/>
      <c r="J63" s="178"/>
      <c r="K63" s="194">
        <v>1800</v>
      </c>
      <c r="L63" s="194"/>
      <c r="M63" s="195"/>
    </row>
    <row r="64" spans="1:13" ht="40.5" customHeight="1" x14ac:dyDescent="0.25">
      <c r="A64" s="177" t="s">
        <v>1332</v>
      </c>
      <c r="B64" s="178"/>
      <c r="C64" s="178"/>
      <c r="D64" s="194">
        <v>6000</v>
      </c>
      <c r="E64" s="194"/>
      <c r="F64" s="195"/>
      <c r="H64" s="177" t="s">
        <v>1332</v>
      </c>
      <c r="I64" s="178"/>
      <c r="J64" s="178"/>
      <c r="K64" s="194">
        <v>28000</v>
      </c>
      <c r="L64" s="194"/>
      <c r="M64" s="195"/>
    </row>
    <row r="65" spans="1:13" ht="15.75" customHeight="1" x14ac:dyDescent="0.25">
      <c r="A65" s="177" t="s">
        <v>12</v>
      </c>
      <c r="B65" s="178"/>
      <c r="C65" s="178"/>
      <c r="D65" s="194">
        <v>500</v>
      </c>
      <c r="E65" s="194"/>
      <c r="F65" s="195"/>
      <c r="H65" s="177" t="s">
        <v>12</v>
      </c>
      <c r="I65" s="178"/>
      <c r="J65" s="178"/>
      <c r="K65" s="194">
        <v>600</v>
      </c>
      <c r="L65" s="194"/>
      <c r="M65" s="195"/>
    </row>
    <row r="66" spans="1:13" ht="15.75" customHeight="1" x14ac:dyDescent="0.25">
      <c r="A66" s="177" t="s">
        <v>1210</v>
      </c>
      <c r="B66" s="178"/>
      <c r="C66" s="178"/>
      <c r="D66" s="206">
        <v>100000</v>
      </c>
      <c r="E66" s="206"/>
      <c r="F66" s="207"/>
      <c r="H66" s="177" t="s">
        <v>1210</v>
      </c>
      <c r="I66" s="178"/>
      <c r="J66" s="178"/>
      <c r="K66" s="206">
        <v>75000000</v>
      </c>
      <c r="L66" s="206"/>
      <c r="M66" s="207"/>
    </row>
    <row r="67" spans="1:13" ht="15.75" customHeight="1" x14ac:dyDescent="0.25">
      <c r="A67" s="177" t="s">
        <v>1329</v>
      </c>
      <c r="B67" s="178"/>
      <c r="C67" s="178"/>
      <c r="D67" s="386">
        <v>500</v>
      </c>
      <c r="E67" s="386"/>
      <c r="F67" s="387"/>
      <c r="H67" s="177" t="s">
        <v>1329</v>
      </c>
      <c r="I67" s="178"/>
      <c r="J67" s="178"/>
      <c r="K67" s="386">
        <v>4000</v>
      </c>
      <c r="L67" s="386"/>
      <c r="M67" s="387"/>
    </row>
    <row r="68" spans="1:13" ht="37.5" customHeight="1" x14ac:dyDescent="0.25">
      <c r="A68" s="177" t="s">
        <v>1155</v>
      </c>
      <c r="B68" s="178"/>
      <c r="C68" s="178"/>
      <c r="D68" s="325" t="s">
        <v>39</v>
      </c>
      <c r="E68" s="326"/>
      <c r="F68" s="327"/>
      <c r="H68" s="177" t="s">
        <v>1155</v>
      </c>
      <c r="I68" s="178"/>
      <c r="J68" s="178"/>
      <c r="K68" s="325" t="s">
        <v>39</v>
      </c>
      <c r="L68" s="326"/>
      <c r="M68" s="327"/>
    </row>
    <row r="69" spans="1:13" ht="15.75" customHeight="1" x14ac:dyDescent="0.25">
      <c r="A69" s="266" t="s">
        <v>11</v>
      </c>
      <c r="B69" s="267"/>
      <c r="C69" s="268"/>
      <c r="D69" s="192" t="s">
        <v>39</v>
      </c>
      <c r="E69" s="192"/>
      <c r="F69" s="193"/>
      <c r="H69" s="266" t="s">
        <v>11</v>
      </c>
      <c r="I69" s="267"/>
      <c r="J69" s="268"/>
      <c r="K69" s="192" t="s">
        <v>39</v>
      </c>
      <c r="L69" s="192"/>
      <c r="M69" s="193"/>
    </row>
    <row r="70" spans="1:13" ht="15.75" customHeight="1" x14ac:dyDescent="0.25">
      <c r="A70" s="266" t="s">
        <v>17</v>
      </c>
      <c r="B70" s="267"/>
      <c r="C70" s="268"/>
      <c r="D70" s="328" t="s">
        <v>50</v>
      </c>
      <c r="E70" s="328"/>
      <c r="F70" s="329"/>
      <c r="H70" s="266" t="s">
        <v>17</v>
      </c>
      <c r="I70" s="267"/>
      <c r="J70" s="268"/>
      <c r="K70" s="328" t="s">
        <v>42</v>
      </c>
      <c r="L70" s="328"/>
      <c r="M70" s="329"/>
    </row>
    <row r="71" spans="1:13" ht="16.5" customHeight="1" thickBot="1" x14ac:dyDescent="0.3">
      <c r="A71" s="208" t="s">
        <v>1213</v>
      </c>
      <c r="B71" s="209"/>
      <c r="C71" s="210"/>
      <c r="D71" s="211">
        <v>3</v>
      </c>
      <c r="E71" s="211"/>
      <c r="F71" s="212"/>
      <c r="H71" s="208" t="s">
        <v>1213</v>
      </c>
      <c r="I71" s="209"/>
      <c r="J71" s="210"/>
      <c r="K71" s="211">
        <v>2</v>
      </c>
      <c r="L71" s="211"/>
      <c r="M71" s="212"/>
    </row>
    <row r="72" spans="1:13" ht="16.5" customHeight="1" thickBot="1" x14ac:dyDescent="0.3">
      <c r="A72" s="213" t="s">
        <v>1077</v>
      </c>
      <c r="B72" s="214"/>
      <c r="C72" s="214"/>
      <c r="D72" s="214"/>
      <c r="E72" s="214"/>
      <c r="F72" s="215"/>
      <c r="H72" s="213" t="s">
        <v>1077</v>
      </c>
      <c r="I72" s="214"/>
      <c r="J72" s="214"/>
      <c r="K72" s="214"/>
      <c r="L72" s="214"/>
      <c r="M72" s="215"/>
    </row>
    <row r="73" spans="1:13" ht="108.75" customHeight="1" x14ac:dyDescent="0.25">
      <c r="A73" s="234" t="s">
        <v>21</v>
      </c>
      <c r="B73" s="235"/>
      <c r="C73" s="235"/>
      <c r="D73" s="376" t="s">
        <v>1002</v>
      </c>
      <c r="E73" s="376"/>
      <c r="F73" s="377"/>
      <c r="H73" s="234" t="s">
        <v>21</v>
      </c>
      <c r="I73" s="235"/>
      <c r="J73" s="235"/>
      <c r="K73" s="376" t="s">
        <v>1001</v>
      </c>
      <c r="L73" s="376"/>
      <c r="M73" s="377"/>
    </row>
    <row r="74" spans="1:13" ht="84.75" customHeight="1" x14ac:dyDescent="0.25">
      <c r="A74" s="303" t="s">
        <v>1156</v>
      </c>
      <c r="B74" s="324"/>
      <c r="C74" s="324"/>
      <c r="D74" s="374" t="s">
        <v>1008</v>
      </c>
      <c r="E74" s="374"/>
      <c r="F74" s="375"/>
      <c r="H74" s="303" t="s">
        <v>1156</v>
      </c>
      <c r="I74" s="324"/>
      <c r="J74" s="324"/>
      <c r="K74" s="374" t="s">
        <v>1008</v>
      </c>
      <c r="L74" s="374"/>
      <c r="M74" s="375"/>
    </row>
    <row r="75" spans="1:13" ht="60.75" customHeight="1" x14ac:dyDescent="0.25">
      <c r="A75" s="303" t="s">
        <v>18</v>
      </c>
      <c r="B75" s="324"/>
      <c r="C75" s="324"/>
      <c r="D75" s="374" t="s">
        <v>1078</v>
      </c>
      <c r="E75" s="374"/>
      <c r="F75" s="375"/>
      <c r="H75" s="303" t="s">
        <v>18</v>
      </c>
      <c r="I75" s="324"/>
      <c r="J75" s="324"/>
      <c r="K75" s="374" t="s">
        <v>1079</v>
      </c>
      <c r="L75" s="374"/>
      <c r="M75" s="375"/>
    </row>
    <row r="76" spans="1:13" ht="15.75" customHeight="1" x14ac:dyDescent="0.25">
      <c r="A76" s="303" t="s">
        <v>20</v>
      </c>
      <c r="B76" s="324"/>
      <c r="C76" s="324"/>
      <c r="D76" s="374" t="s">
        <v>1082</v>
      </c>
      <c r="E76" s="374"/>
      <c r="F76" s="375"/>
      <c r="H76" s="303" t="s">
        <v>20</v>
      </c>
      <c r="I76" s="324"/>
      <c r="J76" s="324"/>
      <c r="K76" s="374" t="s">
        <v>1082</v>
      </c>
      <c r="L76" s="374"/>
      <c r="M76" s="375"/>
    </row>
    <row r="77" spans="1:13" ht="75.75" customHeight="1" x14ac:dyDescent="0.25">
      <c r="A77" s="177" t="s">
        <v>1074</v>
      </c>
      <c r="B77" s="178"/>
      <c r="C77" s="178"/>
      <c r="D77" s="374" t="s">
        <v>1086</v>
      </c>
      <c r="E77" s="374"/>
      <c r="F77" s="375"/>
      <c r="H77" s="177" t="s">
        <v>1074</v>
      </c>
      <c r="I77" s="178"/>
      <c r="J77" s="178"/>
      <c r="K77" s="374" t="s">
        <v>1085</v>
      </c>
      <c r="L77" s="374"/>
      <c r="M77" s="375"/>
    </row>
    <row r="78" spans="1:13" ht="36.75" customHeight="1" thickBot="1" x14ac:dyDescent="0.3">
      <c r="A78" s="312" t="s">
        <v>1157</v>
      </c>
      <c r="B78" s="321"/>
      <c r="C78" s="321"/>
      <c r="D78" s="372" t="s">
        <v>1128</v>
      </c>
      <c r="E78" s="372"/>
      <c r="F78" s="373"/>
      <c r="H78" s="312" t="s">
        <v>1157</v>
      </c>
      <c r="I78" s="321"/>
      <c r="J78" s="321"/>
      <c r="K78" s="372" t="s">
        <v>1128</v>
      </c>
      <c r="L78" s="372"/>
      <c r="M78" s="373"/>
    </row>
    <row r="79" spans="1:13" ht="16.5" customHeight="1" thickBot="1" x14ac:dyDescent="0.3">
      <c r="A79" s="213" t="s">
        <v>1132</v>
      </c>
      <c r="B79" s="214"/>
      <c r="C79" s="214"/>
      <c r="D79" s="214"/>
      <c r="E79" s="214"/>
      <c r="F79" s="215"/>
      <c r="H79" s="213" t="s">
        <v>1132</v>
      </c>
      <c r="I79" s="214"/>
      <c r="J79" s="214"/>
      <c r="K79" s="214"/>
      <c r="L79" s="214"/>
      <c r="M79" s="215"/>
    </row>
    <row r="80" spans="1:13" ht="15.75" customHeight="1" x14ac:dyDescent="0.25">
      <c r="A80" s="330" t="s">
        <v>1398</v>
      </c>
      <c r="B80" s="331"/>
      <c r="C80" s="331"/>
      <c r="D80" s="236" t="s">
        <v>1015</v>
      </c>
      <c r="E80" s="236"/>
      <c r="F80" s="237"/>
      <c r="H80" s="330" t="s">
        <v>1398</v>
      </c>
      <c r="I80" s="331"/>
      <c r="J80" s="331"/>
      <c r="K80" s="376" t="s">
        <v>1015</v>
      </c>
      <c r="L80" s="376"/>
      <c r="M80" s="377"/>
    </row>
    <row r="81" spans="1:13" ht="51.75" customHeight="1" x14ac:dyDescent="0.25">
      <c r="A81" s="303" t="s">
        <v>1393</v>
      </c>
      <c r="B81" s="324"/>
      <c r="C81" s="324"/>
      <c r="D81" s="172" t="s">
        <v>1093</v>
      </c>
      <c r="E81" s="172"/>
      <c r="F81" s="173"/>
      <c r="H81" s="303" t="s">
        <v>1393</v>
      </c>
      <c r="I81" s="324"/>
      <c r="J81" s="324"/>
      <c r="K81" s="374" t="s">
        <v>1089</v>
      </c>
      <c r="L81" s="374"/>
      <c r="M81" s="375"/>
    </row>
    <row r="82" spans="1:13" ht="61.5" customHeight="1" x14ac:dyDescent="0.25">
      <c r="A82" s="303" t="s">
        <v>1158</v>
      </c>
      <c r="B82" s="324"/>
      <c r="C82" s="324"/>
      <c r="D82" s="172" t="s">
        <v>1096</v>
      </c>
      <c r="E82" s="172"/>
      <c r="F82" s="173"/>
      <c r="H82" s="303" t="s">
        <v>1158</v>
      </c>
      <c r="I82" s="324"/>
      <c r="J82" s="324"/>
      <c r="K82" s="374" t="s">
        <v>1095</v>
      </c>
      <c r="L82" s="374"/>
      <c r="M82" s="375"/>
    </row>
    <row r="83" spans="1:13" ht="47.25" customHeight="1" x14ac:dyDescent="0.25">
      <c r="A83" s="303" t="s">
        <v>1159</v>
      </c>
      <c r="B83" s="324"/>
      <c r="C83" s="324"/>
      <c r="D83" s="172" t="s">
        <v>1100</v>
      </c>
      <c r="E83" s="172"/>
      <c r="F83" s="173"/>
      <c r="H83" s="303" t="s">
        <v>1159</v>
      </c>
      <c r="I83" s="324"/>
      <c r="J83" s="324"/>
      <c r="K83" s="374" t="s">
        <v>1100</v>
      </c>
      <c r="L83" s="374"/>
      <c r="M83" s="375"/>
    </row>
    <row r="84" spans="1:13" ht="37.5" customHeight="1" x14ac:dyDescent="0.25">
      <c r="A84" s="303" t="s">
        <v>19</v>
      </c>
      <c r="B84" s="324"/>
      <c r="C84" s="324"/>
      <c r="D84" s="172" t="s">
        <v>1111</v>
      </c>
      <c r="E84" s="172"/>
      <c r="F84" s="173"/>
      <c r="H84" s="303" t="s">
        <v>19</v>
      </c>
      <c r="I84" s="324"/>
      <c r="J84" s="324"/>
      <c r="K84" s="374" t="s">
        <v>1111</v>
      </c>
      <c r="L84" s="374"/>
      <c r="M84" s="375"/>
    </row>
    <row r="85" spans="1:13" ht="42" customHeight="1" x14ac:dyDescent="0.25">
      <c r="A85" s="303" t="s">
        <v>1160</v>
      </c>
      <c r="B85" s="324"/>
      <c r="C85" s="324"/>
      <c r="D85" s="172" t="s">
        <v>1103</v>
      </c>
      <c r="E85" s="172"/>
      <c r="F85" s="173"/>
      <c r="H85" s="303" t="s">
        <v>1160</v>
      </c>
      <c r="I85" s="324"/>
      <c r="J85" s="324"/>
      <c r="K85" s="374" t="s">
        <v>1102</v>
      </c>
      <c r="L85" s="374"/>
      <c r="M85" s="375"/>
    </row>
    <row r="86" spans="1:13" ht="30" customHeight="1" x14ac:dyDescent="0.25">
      <c r="A86" s="266" t="s">
        <v>1161</v>
      </c>
      <c r="B86" s="267"/>
      <c r="C86" s="268"/>
      <c r="D86" s="380"/>
      <c r="E86" s="381"/>
      <c r="F86" s="382"/>
      <c r="H86" s="266" t="s">
        <v>1161</v>
      </c>
      <c r="I86" s="267"/>
      <c r="J86" s="268"/>
      <c r="K86" s="383" t="s">
        <v>1417</v>
      </c>
      <c r="L86" s="384"/>
      <c r="M86" s="385"/>
    </row>
    <row r="87" spans="1:13" ht="15.75" customHeight="1" x14ac:dyDescent="0.25">
      <c r="A87" s="177" t="s">
        <v>1162</v>
      </c>
      <c r="B87" s="178"/>
      <c r="C87" s="178"/>
      <c r="D87" s="172" t="s">
        <v>1106</v>
      </c>
      <c r="E87" s="172"/>
      <c r="F87" s="173"/>
      <c r="H87" s="177" t="s">
        <v>1162</v>
      </c>
      <c r="I87" s="178"/>
      <c r="J87" s="178"/>
      <c r="K87" s="374" t="s">
        <v>1105</v>
      </c>
      <c r="L87" s="374"/>
      <c r="M87" s="375"/>
    </row>
    <row r="88" spans="1:13" ht="39" customHeight="1" x14ac:dyDescent="0.25">
      <c r="A88" s="177" t="s">
        <v>1163</v>
      </c>
      <c r="B88" s="178"/>
      <c r="C88" s="178"/>
      <c r="D88" s="317"/>
      <c r="E88" s="317"/>
      <c r="F88" s="318"/>
      <c r="H88" s="177" t="s">
        <v>1163</v>
      </c>
      <c r="I88" s="178"/>
      <c r="J88" s="178"/>
      <c r="K88" s="378" t="s">
        <v>1418</v>
      </c>
      <c r="L88" s="378"/>
      <c r="M88" s="379"/>
    </row>
    <row r="89" spans="1:13" ht="16.5" customHeight="1" thickBot="1" x14ac:dyDescent="0.3">
      <c r="A89" s="312" t="s">
        <v>1164</v>
      </c>
      <c r="B89" s="321"/>
      <c r="C89" s="321"/>
      <c r="D89" s="322" t="s">
        <v>1107</v>
      </c>
      <c r="E89" s="322"/>
      <c r="F89" s="323"/>
      <c r="H89" s="312" t="s">
        <v>1164</v>
      </c>
      <c r="I89" s="321"/>
      <c r="J89" s="321"/>
      <c r="K89" s="372" t="s">
        <v>1107</v>
      </c>
      <c r="L89" s="372"/>
      <c r="M89" s="373"/>
    </row>
    <row r="90" spans="1:13" ht="16.5" customHeight="1" thickBot="1" x14ac:dyDescent="0.3">
      <c r="A90" s="213" t="s">
        <v>1343</v>
      </c>
      <c r="B90" s="214"/>
      <c r="C90" s="214"/>
      <c r="D90" s="214"/>
      <c r="E90" s="214"/>
      <c r="F90" s="215"/>
      <c r="H90" s="213" t="s">
        <v>1343</v>
      </c>
      <c r="I90" s="214"/>
      <c r="J90" s="214"/>
      <c r="K90" s="214"/>
      <c r="L90" s="214"/>
      <c r="M90" s="215"/>
    </row>
    <row r="91" spans="1:13" ht="105.75" customHeight="1" x14ac:dyDescent="0.25">
      <c r="A91" s="234" t="s">
        <v>1165</v>
      </c>
      <c r="B91" s="235"/>
      <c r="C91" s="235"/>
      <c r="D91" s="376" t="s">
        <v>1113</v>
      </c>
      <c r="E91" s="376"/>
      <c r="F91" s="377"/>
      <c r="H91" s="234" t="s">
        <v>1165</v>
      </c>
      <c r="I91" s="235"/>
      <c r="J91" s="235"/>
      <c r="K91" s="376" t="s">
        <v>1115</v>
      </c>
      <c r="L91" s="376"/>
      <c r="M91" s="377"/>
    </row>
    <row r="92" spans="1:13" ht="108.75" customHeight="1" x14ac:dyDescent="0.25">
      <c r="A92" s="177" t="s">
        <v>1166</v>
      </c>
      <c r="B92" s="178"/>
      <c r="C92" s="178"/>
      <c r="D92" s="374" t="s">
        <v>1117</v>
      </c>
      <c r="E92" s="374"/>
      <c r="F92" s="375"/>
      <c r="H92" s="177" t="s">
        <v>1166</v>
      </c>
      <c r="I92" s="178"/>
      <c r="J92" s="178"/>
      <c r="K92" s="374" t="s">
        <v>1118</v>
      </c>
      <c r="L92" s="374"/>
      <c r="M92" s="375"/>
    </row>
    <row r="93" spans="1:13" ht="116.25" customHeight="1" x14ac:dyDescent="0.25">
      <c r="A93" s="177" t="s">
        <v>1167</v>
      </c>
      <c r="B93" s="178"/>
      <c r="C93" s="178"/>
      <c r="D93" s="374" t="s">
        <v>1120</v>
      </c>
      <c r="E93" s="374"/>
      <c r="F93" s="375"/>
      <c r="H93" s="177" t="s">
        <v>1167</v>
      </c>
      <c r="I93" s="178"/>
      <c r="J93" s="178"/>
      <c r="K93" s="374" t="s">
        <v>1123</v>
      </c>
      <c r="L93" s="374"/>
      <c r="M93" s="375"/>
    </row>
    <row r="94" spans="1:13" ht="34.5" customHeight="1" x14ac:dyDescent="0.25">
      <c r="A94" s="177" t="s">
        <v>1168</v>
      </c>
      <c r="B94" s="178"/>
      <c r="C94" s="178"/>
      <c r="D94" s="374" t="s">
        <v>1015</v>
      </c>
      <c r="E94" s="374"/>
      <c r="F94" s="375"/>
      <c r="H94" s="177" t="s">
        <v>1168</v>
      </c>
      <c r="I94" s="178"/>
      <c r="J94" s="178"/>
      <c r="K94" s="374" t="s">
        <v>1015</v>
      </c>
      <c r="L94" s="374"/>
      <c r="M94" s="375"/>
    </row>
    <row r="95" spans="1:13" ht="51.75" customHeight="1" thickBot="1" x14ac:dyDescent="0.3">
      <c r="A95" s="312" t="s">
        <v>1063</v>
      </c>
      <c r="B95" s="321"/>
      <c r="C95" s="321"/>
      <c r="D95" s="372" t="s">
        <v>1015</v>
      </c>
      <c r="E95" s="372"/>
      <c r="F95" s="373"/>
      <c r="H95" s="312" t="s">
        <v>1063</v>
      </c>
      <c r="I95" s="321"/>
      <c r="J95" s="321"/>
      <c r="K95" s="372" t="s">
        <v>1015</v>
      </c>
      <c r="L95" s="372"/>
      <c r="M95" s="373"/>
    </row>
    <row r="96" spans="1:13" ht="16.5" customHeight="1" thickBot="1" x14ac:dyDescent="0.3">
      <c r="A96" s="228" t="s">
        <v>26</v>
      </c>
      <c r="B96" s="229"/>
      <c r="C96" s="229"/>
      <c r="D96" s="229"/>
      <c r="E96" s="229"/>
      <c r="F96" s="230"/>
      <c r="H96" s="228" t="s">
        <v>26</v>
      </c>
      <c r="I96" s="229"/>
      <c r="J96" s="229"/>
      <c r="K96" s="229"/>
      <c r="L96" s="229"/>
      <c r="M96" s="230"/>
    </row>
    <row r="97" spans="1:13" ht="15.75" customHeight="1" x14ac:dyDescent="0.25">
      <c r="A97" s="308" t="s">
        <v>1169</v>
      </c>
      <c r="B97" s="309"/>
      <c r="C97" s="309"/>
      <c r="D97" s="370" t="s">
        <v>1124</v>
      </c>
      <c r="E97" s="370"/>
      <c r="F97" s="371"/>
      <c r="H97" s="308" t="s">
        <v>1169</v>
      </c>
      <c r="I97" s="309"/>
      <c r="J97" s="309"/>
      <c r="K97" s="370" t="s">
        <v>1126</v>
      </c>
      <c r="L97" s="370"/>
      <c r="M97" s="371"/>
    </row>
    <row r="98" spans="1:13" ht="15.75" customHeight="1" x14ac:dyDescent="0.25">
      <c r="A98" s="349" t="s">
        <v>1170</v>
      </c>
      <c r="B98" s="350"/>
      <c r="C98" s="350"/>
      <c r="D98" s="351">
        <v>202016</v>
      </c>
      <c r="E98" s="351"/>
      <c r="F98" s="352"/>
      <c r="H98" s="349" t="s">
        <v>1170</v>
      </c>
      <c r="I98" s="350"/>
      <c r="J98" s="350"/>
      <c r="K98" s="351">
        <v>202015</v>
      </c>
      <c r="L98" s="351"/>
      <c r="M98" s="352"/>
    </row>
    <row r="99" spans="1:13" x14ac:dyDescent="0.25">
      <c r="A99" s="356" t="s">
        <v>1171</v>
      </c>
      <c r="B99" s="357"/>
      <c r="C99" s="357"/>
      <c r="D99" s="317" t="s">
        <v>1426</v>
      </c>
      <c r="E99" s="317"/>
      <c r="F99" s="318"/>
      <c r="H99" s="356" t="s">
        <v>1171</v>
      </c>
      <c r="I99" s="357"/>
      <c r="J99" s="357"/>
      <c r="K99" s="317" t="s">
        <v>1419</v>
      </c>
      <c r="L99" s="317"/>
      <c r="M99" s="318"/>
    </row>
    <row r="100" spans="1:13" x14ac:dyDescent="0.25">
      <c r="A100" s="319" t="s">
        <v>1409</v>
      </c>
      <c r="B100" s="320"/>
      <c r="C100" s="320"/>
      <c r="D100" s="317" t="s">
        <v>1427</v>
      </c>
      <c r="E100" s="317"/>
      <c r="F100" s="318"/>
      <c r="H100" s="319" t="s">
        <v>1409</v>
      </c>
      <c r="I100" s="320"/>
      <c r="J100" s="320"/>
      <c r="K100" s="317" t="s">
        <v>1420</v>
      </c>
      <c r="L100" s="317"/>
      <c r="M100" s="318"/>
    </row>
    <row r="101" spans="1:13" ht="16.5" thickBot="1" x14ac:dyDescent="0.3">
      <c r="A101" s="281" t="s">
        <v>13</v>
      </c>
      <c r="B101" s="282"/>
      <c r="C101" s="282"/>
      <c r="D101" s="211">
        <v>123456</v>
      </c>
      <c r="E101" s="211"/>
      <c r="F101" s="212"/>
      <c r="H101" s="281" t="s">
        <v>13</v>
      </c>
      <c r="I101" s="282"/>
      <c r="J101" s="282"/>
      <c r="K101" s="211">
        <v>123456</v>
      </c>
      <c r="L101" s="211"/>
      <c r="M101" s="212"/>
    </row>
    <row r="102" spans="1:13" ht="16.5" customHeight="1" thickBot="1" x14ac:dyDescent="0.3">
      <c r="A102" s="340" t="s">
        <v>1041</v>
      </c>
      <c r="B102" s="341"/>
      <c r="C102" s="341"/>
      <c r="D102" s="341"/>
      <c r="E102" s="341"/>
      <c r="F102" s="342"/>
      <c r="H102" s="340" t="s">
        <v>1041</v>
      </c>
      <c r="I102" s="341"/>
      <c r="J102" s="341"/>
      <c r="K102" s="341"/>
      <c r="L102" s="341"/>
      <c r="M102" s="342"/>
    </row>
    <row r="103" spans="1:13" ht="229.5" customHeight="1" thickBot="1" x14ac:dyDescent="0.3">
      <c r="A103" s="343"/>
      <c r="B103" s="344"/>
      <c r="C103" s="344"/>
      <c r="D103" s="344"/>
      <c r="E103" s="344"/>
      <c r="F103" s="345"/>
      <c r="H103" s="343"/>
      <c r="I103" s="344"/>
      <c r="J103" s="344"/>
      <c r="K103" s="344"/>
      <c r="L103" s="344"/>
      <c r="M103" s="345"/>
    </row>
    <row r="104" spans="1:13" ht="16.5" customHeight="1" thickBot="1" x14ac:dyDescent="0.3">
      <c r="A104" s="346" t="s">
        <v>1341</v>
      </c>
      <c r="B104" s="347"/>
      <c r="C104" s="347"/>
      <c r="D104" s="347"/>
      <c r="E104" s="347"/>
      <c r="F104" s="348"/>
      <c r="H104" s="346" t="s">
        <v>1341</v>
      </c>
      <c r="I104" s="347"/>
      <c r="J104" s="347"/>
      <c r="K104" s="347"/>
      <c r="L104" s="347"/>
      <c r="M104" s="348"/>
    </row>
    <row r="105" spans="1:13" ht="15.75" customHeight="1" x14ac:dyDescent="0.25">
      <c r="A105" s="330" t="s">
        <v>1395</v>
      </c>
      <c r="B105" s="331"/>
      <c r="C105" s="331"/>
      <c r="D105" s="331"/>
      <c r="E105" s="331"/>
      <c r="F105" s="70" t="s">
        <v>1348</v>
      </c>
      <c r="H105" s="330" t="s">
        <v>1395</v>
      </c>
      <c r="I105" s="331"/>
      <c r="J105" s="331"/>
      <c r="K105" s="331"/>
      <c r="L105" s="331"/>
      <c r="M105" s="70" t="s">
        <v>1349</v>
      </c>
    </row>
    <row r="106" spans="1:13" ht="15.75" customHeight="1" x14ac:dyDescent="0.25">
      <c r="A106" s="303" t="s">
        <v>1396</v>
      </c>
      <c r="B106" s="324"/>
      <c r="C106" s="324"/>
      <c r="D106" s="324"/>
      <c r="E106" s="324"/>
      <c r="F106" s="71" t="s">
        <v>1350</v>
      </c>
      <c r="H106" s="303" t="s">
        <v>1396</v>
      </c>
      <c r="I106" s="324"/>
      <c r="J106" s="324"/>
      <c r="K106" s="324"/>
      <c r="L106" s="324"/>
      <c r="M106" s="71" t="s">
        <v>1348</v>
      </c>
    </row>
    <row r="107" spans="1:13" ht="16.5" customHeight="1" thickBot="1" x14ac:dyDescent="0.3">
      <c r="A107" s="303" t="s">
        <v>1397</v>
      </c>
      <c r="B107" s="324"/>
      <c r="C107" s="324"/>
      <c r="D107" s="324"/>
      <c r="E107" s="324"/>
      <c r="F107" s="72" t="s">
        <v>1428</v>
      </c>
      <c r="H107" s="303" t="s">
        <v>1397</v>
      </c>
      <c r="I107" s="324"/>
      <c r="J107" s="324"/>
      <c r="K107" s="324"/>
      <c r="L107" s="324"/>
      <c r="M107" s="72" t="s">
        <v>1222</v>
      </c>
    </row>
    <row r="108" spans="1:13" ht="16.5" customHeight="1" thickBot="1" x14ac:dyDescent="0.3">
      <c r="A108" s="353" t="s">
        <v>1342</v>
      </c>
      <c r="B108" s="354"/>
      <c r="C108" s="354"/>
      <c r="D108" s="354"/>
      <c r="E108" s="354"/>
      <c r="F108" s="355"/>
      <c r="H108" s="353" t="s">
        <v>1342</v>
      </c>
      <c r="I108" s="354"/>
      <c r="J108" s="354"/>
      <c r="K108" s="354"/>
      <c r="L108" s="354"/>
      <c r="M108" s="355"/>
    </row>
    <row r="109" spans="1:13" ht="15.75" customHeight="1" x14ac:dyDescent="0.25">
      <c r="A109" s="197" t="s">
        <v>1383</v>
      </c>
      <c r="B109" s="198"/>
      <c r="C109" s="198"/>
      <c r="D109" s="198"/>
      <c r="E109" s="198"/>
      <c r="F109" s="199"/>
      <c r="H109" s="197" t="s">
        <v>1381</v>
      </c>
      <c r="I109" s="198"/>
      <c r="J109" s="198"/>
      <c r="K109" s="198"/>
      <c r="L109" s="198"/>
      <c r="M109" s="199"/>
    </row>
    <row r="110" spans="1:13" x14ac:dyDescent="0.25">
      <c r="A110" s="183"/>
      <c r="B110" s="184"/>
      <c r="C110" s="184"/>
      <c r="D110" s="184"/>
      <c r="E110" s="184"/>
      <c r="F110" s="185"/>
      <c r="H110" s="183"/>
      <c r="I110" s="184"/>
      <c r="J110" s="184"/>
      <c r="K110" s="184"/>
      <c r="L110" s="184"/>
      <c r="M110" s="185"/>
    </row>
    <row r="111" spans="1:13" x14ac:dyDescent="0.25">
      <c r="A111" s="183"/>
      <c r="B111" s="184"/>
      <c r="C111" s="184"/>
      <c r="D111" s="184"/>
      <c r="E111" s="184"/>
      <c r="F111" s="185"/>
      <c r="H111" s="183"/>
      <c r="I111" s="184"/>
      <c r="J111" s="184"/>
      <c r="K111" s="184"/>
      <c r="L111" s="184"/>
      <c r="M111" s="185"/>
    </row>
    <row r="112" spans="1:13" x14ac:dyDescent="0.25">
      <c r="A112" s="183"/>
      <c r="B112" s="184"/>
      <c r="C112" s="184"/>
      <c r="D112" s="184"/>
      <c r="E112" s="184"/>
      <c r="F112" s="185"/>
      <c r="H112" s="183"/>
      <c r="I112" s="184"/>
      <c r="J112" s="184"/>
      <c r="K112" s="184"/>
      <c r="L112" s="184"/>
      <c r="M112" s="185"/>
    </row>
    <row r="113" spans="1:13" x14ac:dyDescent="0.25">
      <c r="A113" s="183"/>
      <c r="B113" s="184"/>
      <c r="C113" s="184"/>
      <c r="D113" s="184"/>
      <c r="E113" s="184"/>
      <c r="F113" s="185"/>
      <c r="H113" s="183"/>
      <c r="I113" s="184"/>
      <c r="J113" s="184"/>
      <c r="K113" s="184"/>
      <c r="L113" s="184"/>
      <c r="M113" s="185"/>
    </row>
    <row r="114" spans="1:13" ht="92.25" customHeight="1" thickBot="1" x14ac:dyDescent="0.3">
      <c r="A114" s="200" t="str">
        <f>IF([1]Classificação!C161="sim",VLOOKUP($F$113,[1]Classificação!$B$157:$G$160,2,FALSE),"")</f>
        <v/>
      </c>
      <c r="B114" s="201"/>
      <c r="C114" s="201"/>
      <c r="D114" s="201"/>
      <c r="E114" s="201"/>
      <c r="F114" s="202"/>
      <c r="H114" s="200" t="s">
        <v>1382</v>
      </c>
      <c r="I114" s="201"/>
      <c r="J114" s="201"/>
      <c r="K114" s="201"/>
      <c r="L114" s="201"/>
      <c r="M114" s="202"/>
    </row>
    <row r="115" spans="1:13" ht="16.5" customHeight="1" thickBot="1" x14ac:dyDescent="0.3">
      <c r="A115" s="340" t="s">
        <v>10</v>
      </c>
      <c r="B115" s="341"/>
      <c r="C115" s="341"/>
      <c r="D115" s="341"/>
      <c r="E115" s="341"/>
      <c r="F115" s="342"/>
      <c r="H115" s="340" t="s">
        <v>10</v>
      </c>
      <c r="I115" s="341"/>
      <c r="J115" s="341"/>
      <c r="K115" s="341"/>
      <c r="L115" s="341"/>
      <c r="M115" s="342"/>
    </row>
    <row r="116" spans="1:13" ht="15.75" customHeight="1" x14ac:dyDescent="0.25">
      <c r="A116" s="308" t="s">
        <v>1173</v>
      </c>
      <c r="B116" s="309"/>
      <c r="C116" s="309"/>
      <c r="D116" s="236" t="s">
        <v>1423</v>
      </c>
      <c r="E116" s="236"/>
      <c r="F116" s="237"/>
      <c r="H116" s="308" t="s">
        <v>1173</v>
      </c>
      <c r="I116" s="309"/>
      <c r="J116" s="309"/>
      <c r="K116" s="236" t="s">
        <v>1422</v>
      </c>
      <c r="L116" s="236"/>
      <c r="M116" s="237"/>
    </row>
    <row r="117" spans="1:13" ht="15.75" customHeight="1" x14ac:dyDescent="0.25">
      <c r="A117" s="280" t="s">
        <v>1174</v>
      </c>
      <c r="B117" s="225"/>
      <c r="C117" s="225"/>
      <c r="D117" s="236"/>
      <c r="E117" s="236"/>
      <c r="F117" s="237"/>
      <c r="H117" s="280" t="s">
        <v>1174</v>
      </c>
      <c r="I117" s="225"/>
      <c r="J117" s="225"/>
      <c r="K117" s="236" t="s">
        <v>1421</v>
      </c>
      <c r="L117" s="236"/>
      <c r="M117" s="237"/>
    </row>
    <row r="118" spans="1:13" x14ac:dyDescent="0.25">
      <c r="A118" s="280" t="s">
        <v>1175</v>
      </c>
      <c r="B118" s="225"/>
      <c r="C118" s="225"/>
      <c r="D118" s="294">
        <v>31988781247</v>
      </c>
      <c r="E118" s="294"/>
      <c r="F118" s="295"/>
      <c r="H118" s="280" t="s">
        <v>1175</v>
      </c>
      <c r="I118" s="225"/>
      <c r="J118" s="225"/>
      <c r="K118" s="294">
        <v>31933334444</v>
      </c>
      <c r="L118" s="294"/>
      <c r="M118" s="295"/>
    </row>
    <row r="119" spans="1:13" ht="15.75" customHeight="1" thickBot="1" x14ac:dyDescent="0.3">
      <c r="A119" s="335" t="s">
        <v>1176</v>
      </c>
      <c r="B119" s="336"/>
      <c r="C119" s="336"/>
      <c r="D119" s="337" t="s">
        <v>1424</v>
      </c>
      <c r="E119" s="338"/>
      <c r="F119" s="339"/>
      <c r="H119" s="335" t="s">
        <v>1176</v>
      </c>
      <c r="I119" s="336"/>
      <c r="J119" s="336"/>
      <c r="K119" s="337" t="s">
        <v>1414</v>
      </c>
      <c r="L119" s="338"/>
      <c r="M119" s="339"/>
    </row>
  </sheetData>
  <sheetProtection algorithmName="SHA-512" hashValue="oc+I3Npc9ZaUmIZIPKEGI+9Uhogpp/QDBTg4qsr4mbhHnEjXelAlK4eccIgFwt5rERwVJavsjK2UnNfOPz9koA==" saltValue="kkc43FHVKuRZGXzmEuVPTg==" spinCount="100000" sheet="1" objects="1" scenarios="1" selectLockedCells="1" selectUnlockedCells="1"/>
  <mergeCells count="400">
    <mergeCell ref="H6:M6"/>
    <mergeCell ref="A7:C7"/>
    <mergeCell ref="A8:F11"/>
    <mergeCell ref="H8:M11"/>
    <mergeCell ref="A12:F12"/>
    <mergeCell ref="H12:M12"/>
    <mergeCell ref="A3:F3"/>
    <mergeCell ref="A6:F6"/>
    <mergeCell ref="A15:C15"/>
    <mergeCell ref="D15:F15"/>
    <mergeCell ref="H15:J15"/>
    <mergeCell ref="K15:M15"/>
    <mergeCell ref="A16:C16"/>
    <mergeCell ref="D16:F16"/>
    <mergeCell ref="H16:J16"/>
    <mergeCell ref="K16:M16"/>
    <mergeCell ref="A13:C13"/>
    <mergeCell ref="D13:F13"/>
    <mergeCell ref="H13:J13"/>
    <mergeCell ref="K13:M13"/>
    <mergeCell ref="A14:C14"/>
    <mergeCell ref="D14:F14"/>
    <mergeCell ref="H14:J14"/>
    <mergeCell ref="K14:M14"/>
    <mergeCell ref="K17:M17"/>
    <mergeCell ref="B18:C18"/>
    <mergeCell ref="D18:F18"/>
    <mergeCell ref="I18:J18"/>
    <mergeCell ref="K18:M18"/>
    <mergeCell ref="A17:A22"/>
    <mergeCell ref="B17:C17"/>
    <mergeCell ref="D17:F17"/>
    <mergeCell ref="H17:H22"/>
    <mergeCell ref="I17:J17"/>
    <mergeCell ref="B19:C19"/>
    <mergeCell ref="D19:F19"/>
    <mergeCell ref="I19:J19"/>
    <mergeCell ref="B21:C21"/>
    <mergeCell ref="D21:F21"/>
    <mergeCell ref="I21:J21"/>
    <mergeCell ref="K21:M21"/>
    <mergeCell ref="B22:C22"/>
    <mergeCell ref="D22:F22"/>
    <mergeCell ref="I22:J22"/>
    <mergeCell ref="K22:M22"/>
    <mergeCell ref="K19:M19"/>
    <mergeCell ref="B20:C20"/>
    <mergeCell ref="D20:F20"/>
    <mergeCell ref="I20:J20"/>
    <mergeCell ref="K20:M20"/>
    <mergeCell ref="A25:C25"/>
    <mergeCell ref="D25:F25"/>
    <mergeCell ref="H25:J25"/>
    <mergeCell ref="K25:M25"/>
    <mergeCell ref="A26:C26"/>
    <mergeCell ref="D26:F26"/>
    <mergeCell ref="H26:J26"/>
    <mergeCell ref="K26:M26"/>
    <mergeCell ref="A23:F23"/>
    <mergeCell ref="H23:M23"/>
    <mergeCell ref="A24:C24"/>
    <mergeCell ref="D24:F24"/>
    <mergeCell ref="H24:J24"/>
    <mergeCell ref="K24:M24"/>
    <mergeCell ref="K27:M27"/>
    <mergeCell ref="B28:C28"/>
    <mergeCell ref="D28:F28"/>
    <mergeCell ref="I28:J28"/>
    <mergeCell ref="K28:M28"/>
    <mergeCell ref="A27:A35"/>
    <mergeCell ref="B27:C27"/>
    <mergeCell ref="D27:F27"/>
    <mergeCell ref="H27:H35"/>
    <mergeCell ref="I27:J27"/>
    <mergeCell ref="B29:C29"/>
    <mergeCell ref="D29:F29"/>
    <mergeCell ref="I29:J29"/>
    <mergeCell ref="B31:C31"/>
    <mergeCell ref="D31:F31"/>
    <mergeCell ref="I31:J31"/>
    <mergeCell ref="B33:C33"/>
    <mergeCell ref="D33:F33"/>
    <mergeCell ref="I33:J33"/>
    <mergeCell ref="B35:C35"/>
    <mergeCell ref="D35:F35"/>
    <mergeCell ref="K31:M31"/>
    <mergeCell ref="B32:C32"/>
    <mergeCell ref="D32:F32"/>
    <mergeCell ref="I32:J32"/>
    <mergeCell ref="K32:M32"/>
    <mergeCell ref="K29:M29"/>
    <mergeCell ref="B30:C30"/>
    <mergeCell ref="D30:F30"/>
    <mergeCell ref="I30:J30"/>
    <mergeCell ref="K30:M30"/>
    <mergeCell ref="I35:J35"/>
    <mergeCell ref="K35:M35"/>
    <mergeCell ref="A36:F36"/>
    <mergeCell ref="H36:M36"/>
    <mergeCell ref="A37:C37"/>
    <mergeCell ref="D37:F37"/>
    <mergeCell ref="H37:J37"/>
    <mergeCell ref="K37:M37"/>
    <mergeCell ref="K33:M33"/>
    <mergeCell ref="B34:C34"/>
    <mergeCell ref="D34:F34"/>
    <mergeCell ref="I34:J34"/>
    <mergeCell ref="K34:M34"/>
    <mergeCell ref="A38:C38"/>
    <mergeCell ref="D38:F38"/>
    <mergeCell ref="H38:J38"/>
    <mergeCell ref="K38:M38"/>
    <mergeCell ref="A39:A41"/>
    <mergeCell ref="B39:C39"/>
    <mergeCell ref="D39:F39"/>
    <mergeCell ref="H39:H41"/>
    <mergeCell ref="I39:J39"/>
    <mergeCell ref="K39:M39"/>
    <mergeCell ref="B40:C40"/>
    <mergeCell ref="D40:F40"/>
    <mergeCell ref="I40:J40"/>
    <mergeCell ref="K40:M40"/>
    <mergeCell ref="B41:C41"/>
    <mergeCell ref="D41:F41"/>
    <mergeCell ref="A43:C43"/>
    <mergeCell ref="D43:F43"/>
    <mergeCell ref="H43:J43"/>
    <mergeCell ref="K43:M43"/>
    <mergeCell ref="A44:C44"/>
    <mergeCell ref="D44:F44"/>
    <mergeCell ref="H44:J44"/>
    <mergeCell ref="K44:M44"/>
    <mergeCell ref="I41:J41"/>
    <mergeCell ref="K41:M41"/>
    <mergeCell ref="A42:C42"/>
    <mergeCell ref="D42:F42"/>
    <mergeCell ref="H42:J42"/>
    <mergeCell ref="K42:M42"/>
    <mergeCell ref="K45:M45"/>
    <mergeCell ref="B46:C46"/>
    <mergeCell ref="D46:F46"/>
    <mergeCell ref="I46:J46"/>
    <mergeCell ref="K46:M46"/>
    <mergeCell ref="A45:A46"/>
    <mergeCell ref="B45:C45"/>
    <mergeCell ref="D45:F45"/>
    <mergeCell ref="H45:H46"/>
    <mergeCell ref="I45:J45"/>
    <mergeCell ref="K47:M47"/>
    <mergeCell ref="B48:C48"/>
    <mergeCell ref="D48:F48"/>
    <mergeCell ref="I48:J48"/>
    <mergeCell ref="K48:M48"/>
    <mergeCell ref="A47:A48"/>
    <mergeCell ref="B47:C47"/>
    <mergeCell ref="D47:F47"/>
    <mergeCell ref="H47:H48"/>
    <mergeCell ref="I47:J47"/>
    <mergeCell ref="A51:C51"/>
    <mergeCell ref="D51:F51"/>
    <mergeCell ref="H51:J51"/>
    <mergeCell ref="K51:M51"/>
    <mergeCell ref="A52:C52"/>
    <mergeCell ref="D52:F52"/>
    <mergeCell ref="H52:J52"/>
    <mergeCell ref="K52:M52"/>
    <mergeCell ref="A49:C49"/>
    <mergeCell ref="D49:F49"/>
    <mergeCell ref="H49:J49"/>
    <mergeCell ref="K49:M49"/>
    <mergeCell ref="A50:C50"/>
    <mergeCell ref="D50:F50"/>
    <mergeCell ref="H50:J50"/>
    <mergeCell ref="K50:M50"/>
    <mergeCell ref="A55:C55"/>
    <mergeCell ref="D55:F55"/>
    <mergeCell ref="H55:J55"/>
    <mergeCell ref="K55:M55"/>
    <mergeCell ref="A56:C56"/>
    <mergeCell ref="D56:F56"/>
    <mergeCell ref="H56:J56"/>
    <mergeCell ref="K56:M56"/>
    <mergeCell ref="A53:C53"/>
    <mergeCell ref="D53:F53"/>
    <mergeCell ref="H53:J53"/>
    <mergeCell ref="K53:M53"/>
    <mergeCell ref="A54:C54"/>
    <mergeCell ref="D54:F54"/>
    <mergeCell ref="H54:J54"/>
    <mergeCell ref="K54:M54"/>
    <mergeCell ref="A59:C59"/>
    <mergeCell ref="D59:F59"/>
    <mergeCell ref="H59:J59"/>
    <mergeCell ref="K59:M59"/>
    <mergeCell ref="A60:C60"/>
    <mergeCell ref="D60:F60"/>
    <mergeCell ref="H60:J60"/>
    <mergeCell ref="K60:M60"/>
    <mergeCell ref="K57:M57"/>
    <mergeCell ref="B58:C58"/>
    <mergeCell ref="D58:F58"/>
    <mergeCell ref="I58:J58"/>
    <mergeCell ref="K58:M58"/>
    <mergeCell ref="A57:A58"/>
    <mergeCell ref="B57:C57"/>
    <mergeCell ref="D57:F57"/>
    <mergeCell ref="H57:H58"/>
    <mergeCell ref="I57:J57"/>
    <mergeCell ref="A63:C63"/>
    <mergeCell ref="D63:F63"/>
    <mergeCell ref="H63:J63"/>
    <mergeCell ref="K63:M63"/>
    <mergeCell ref="A64:C64"/>
    <mergeCell ref="D64:F64"/>
    <mergeCell ref="H64:J64"/>
    <mergeCell ref="K64:M64"/>
    <mergeCell ref="A61:C61"/>
    <mergeCell ref="D61:F61"/>
    <mergeCell ref="H61:J61"/>
    <mergeCell ref="K61:M61"/>
    <mergeCell ref="A62:C62"/>
    <mergeCell ref="D62:F62"/>
    <mergeCell ref="H62:J62"/>
    <mergeCell ref="K62:M62"/>
    <mergeCell ref="A67:C67"/>
    <mergeCell ref="D67:F67"/>
    <mergeCell ref="H67:J67"/>
    <mergeCell ref="K67:M67"/>
    <mergeCell ref="A68:C68"/>
    <mergeCell ref="D68:F68"/>
    <mergeCell ref="H68:J68"/>
    <mergeCell ref="K68:M68"/>
    <mergeCell ref="A65:C65"/>
    <mergeCell ref="D65:F65"/>
    <mergeCell ref="H65:J65"/>
    <mergeCell ref="K65:M65"/>
    <mergeCell ref="A66:C66"/>
    <mergeCell ref="D66:F66"/>
    <mergeCell ref="H66:J66"/>
    <mergeCell ref="K66:M66"/>
    <mergeCell ref="A71:C71"/>
    <mergeCell ref="D71:F71"/>
    <mergeCell ref="H71:J71"/>
    <mergeCell ref="K71:M71"/>
    <mergeCell ref="A72:F72"/>
    <mergeCell ref="H72:M72"/>
    <mergeCell ref="A69:C69"/>
    <mergeCell ref="D69:F69"/>
    <mergeCell ref="H69:J69"/>
    <mergeCell ref="K69:M69"/>
    <mergeCell ref="A70:C70"/>
    <mergeCell ref="D70:F70"/>
    <mergeCell ref="H70:J70"/>
    <mergeCell ref="K70:M70"/>
    <mergeCell ref="A75:C75"/>
    <mergeCell ref="D75:F75"/>
    <mergeCell ref="H75:J75"/>
    <mergeCell ref="K75:M75"/>
    <mergeCell ref="A76:C76"/>
    <mergeCell ref="D76:F76"/>
    <mergeCell ref="H76:J76"/>
    <mergeCell ref="K76:M76"/>
    <mergeCell ref="A73:C73"/>
    <mergeCell ref="D73:F73"/>
    <mergeCell ref="H73:J73"/>
    <mergeCell ref="K73:M73"/>
    <mergeCell ref="A74:C74"/>
    <mergeCell ref="D74:F74"/>
    <mergeCell ref="H74:J74"/>
    <mergeCell ref="K74:M74"/>
    <mergeCell ref="A79:F79"/>
    <mergeCell ref="H79:M79"/>
    <mergeCell ref="A80:C80"/>
    <mergeCell ref="D80:F80"/>
    <mergeCell ref="H80:J80"/>
    <mergeCell ref="K80:M80"/>
    <mergeCell ref="A77:C77"/>
    <mergeCell ref="D77:F77"/>
    <mergeCell ref="H77:J77"/>
    <mergeCell ref="K77:M77"/>
    <mergeCell ref="A78:C78"/>
    <mergeCell ref="D78:F78"/>
    <mergeCell ref="H78:J78"/>
    <mergeCell ref="K78:M78"/>
    <mergeCell ref="A83:C83"/>
    <mergeCell ref="D83:F83"/>
    <mergeCell ref="H83:J83"/>
    <mergeCell ref="K83:M83"/>
    <mergeCell ref="A84:C84"/>
    <mergeCell ref="D84:F84"/>
    <mergeCell ref="H84:J84"/>
    <mergeCell ref="K84:M84"/>
    <mergeCell ref="A81:C81"/>
    <mergeCell ref="D81:F81"/>
    <mergeCell ref="H81:J81"/>
    <mergeCell ref="K81:M81"/>
    <mergeCell ref="A82:C82"/>
    <mergeCell ref="D82:F82"/>
    <mergeCell ref="H82:J82"/>
    <mergeCell ref="K82:M82"/>
    <mergeCell ref="A87:C87"/>
    <mergeCell ref="D87:F87"/>
    <mergeCell ref="H87:J87"/>
    <mergeCell ref="K87:M87"/>
    <mergeCell ref="A88:C88"/>
    <mergeCell ref="D88:F88"/>
    <mergeCell ref="H88:J88"/>
    <mergeCell ref="K88:M88"/>
    <mergeCell ref="A85:C85"/>
    <mergeCell ref="D85:F85"/>
    <mergeCell ref="H85:J85"/>
    <mergeCell ref="K85:M85"/>
    <mergeCell ref="A86:C86"/>
    <mergeCell ref="D86:F86"/>
    <mergeCell ref="H86:J86"/>
    <mergeCell ref="K86:M86"/>
    <mergeCell ref="A91:C91"/>
    <mergeCell ref="D91:F91"/>
    <mergeCell ref="H91:J91"/>
    <mergeCell ref="K91:M91"/>
    <mergeCell ref="A92:C92"/>
    <mergeCell ref="D92:F92"/>
    <mergeCell ref="H92:J92"/>
    <mergeCell ref="K92:M92"/>
    <mergeCell ref="A89:C89"/>
    <mergeCell ref="D89:F89"/>
    <mergeCell ref="H89:J89"/>
    <mergeCell ref="K89:M89"/>
    <mergeCell ref="A90:F90"/>
    <mergeCell ref="H90:M90"/>
    <mergeCell ref="A95:C95"/>
    <mergeCell ref="D95:F95"/>
    <mergeCell ref="H95:J95"/>
    <mergeCell ref="K95:M95"/>
    <mergeCell ref="A96:F96"/>
    <mergeCell ref="H96:M96"/>
    <mergeCell ref="A93:C93"/>
    <mergeCell ref="D93:F93"/>
    <mergeCell ref="H93:J93"/>
    <mergeCell ref="K93:M93"/>
    <mergeCell ref="A94:C94"/>
    <mergeCell ref="D94:F94"/>
    <mergeCell ref="H94:J94"/>
    <mergeCell ref="K94:M94"/>
    <mergeCell ref="A99:C99"/>
    <mergeCell ref="D99:F99"/>
    <mergeCell ref="H99:J99"/>
    <mergeCell ref="K99:M99"/>
    <mergeCell ref="A100:C100"/>
    <mergeCell ref="D100:F100"/>
    <mergeCell ref="H100:J100"/>
    <mergeCell ref="K100:M100"/>
    <mergeCell ref="A97:C97"/>
    <mergeCell ref="D97:F97"/>
    <mergeCell ref="H97:J97"/>
    <mergeCell ref="K97:M97"/>
    <mergeCell ref="A98:C98"/>
    <mergeCell ref="D98:F98"/>
    <mergeCell ref="H98:J98"/>
    <mergeCell ref="K98:M98"/>
    <mergeCell ref="A103:F103"/>
    <mergeCell ref="H103:M103"/>
    <mergeCell ref="A104:F104"/>
    <mergeCell ref="H104:M104"/>
    <mergeCell ref="A105:E105"/>
    <mergeCell ref="H105:L105"/>
    <mergeCell ref="A101:C101"/>
    <mergeCell ref="D101:F101"/>
    <mergeCell ref="H101:J101"/>
    <mergeCell ref="K101:M101"/>
    <mergeCell ref="A102:F102"/>
    <mergeCell ref="H102:M102"/>
    <mergeCell ref="A109:F113"/>
    <mergeCell ref="H109:M113"/>
    <mergeCell ref="A114:F114"/>
    <mergeCell ref="H114:M114"/>
    <mergeCell ref="A115:F115"/>
    <mergeCell ref="H115:M115"/>
    <mergeCell ref="A106:E106"/>
    <mergeCell ref="H106:L106"/>
    <mergeCell ref="A107:E107"/>
    <mergeCell ref="H107:L107"/>
    <mergeCell ref="A108:F108"/>
    <mergeCell ref="H108:M108"/>
    <mergeCell ref="A118:C118"/>
    <mergeCell ref="D118:F118"/>
    <mergeCell ref="H118:J118"/>
    <mergeCell ref="K118:M118"/>
    <mergeCell ref="A119:C119"/>
    <mergeCell ref="D119:F119"/>
    <mergeCell ref="H119:J119"/>
    <mergeCell ref="K119:M119"/>
    <mergeCell ref="A116:C116"/>
    <mergeCell ref="D116:F116"/>
    <mergeCell ref="H116:J116"/>
    <mergeCell ref="K116:M116"/>
    <mergeCell ref="A117:C117"/>
    <mergeCell ref="D117:F117"/>
    <mergeCell ref="H117:J117"/>
    <mergeCell ref="K117:M117"/>
  </mergeCells>
  <conditionalFormatting sqref="F107">
    <cfRule type="cellIs" dxfId="113" priority="60" operator="greaterThan">
      <formula>0</formula>
    </cfRule>
  </conditionalFormatting>
  <conditionalFormatting sqref="D13:F17 D20:F22">
    <cfRule type="cellIs" dxfId="112" priority="114" operator="greaterThan">
      <formula>0</formula>
    </cfRule>
  </conditionalFormatting>
  <conditionalFormatting sqref="D32:F32">
    <cfRule type="cellIs" dxfId="111" priority="113" operator="greaterThan">
      <formula>0</formula>
    </cfRule>
  </conditionalFormatting>
  <conditionalFormatting sqref="D24:F28 D30:F35">
    <cfRule type="cellIs" dxfId="110" priority="112" operator="greaterThan">
      <formula>0</formula>
    </cfRule>
  </conditionalFormatting>
  <conditionalFormatting sqref="D37:F38 D40:F41">
    <cfRule type="cellIs" dxfId="109" priority="111" operator="greaterThan">
      <formula>0</formula>
    </cfRule>
  </conditionalFormatting>
  <conditionalFormatting sqref="D42:F42">
    <cfRule type="cellIs" dxfId="108" priority="110" operator="greaterThan">
      <formula>0</formula>
    </cfRule>
  </conditionalFormatting>
  <conditionalFormatting sqref="D38:F38">
    <cfRule type="cellIs" dxfId="107" priority="109" operator="greaterThan">
      <formula>0</formula>
    </cfRule>
  </conditionalFormatting>
  <conditionalFormatting sqref="D45:F45">
    <cfRule type="cellIs" dxfId="106" priority="108" operator="greaterThan">
      <formula>0</formula>
    </cfRule>
  </conditionalFormatting>
  <conditionalFormatting sqref="D47:F47">
    <cfRule type="cellIs" dxfId="105" priority="107" operator="greaterThan">
      <formula>0</formula>
    </cfRule>
  </conditionalFormatting>
  <conditionalFormatting sqref="D52:F52">
    <cfRule type="cellIs" dxfId="104" priority="106" operator="greaterThan">
      <formula>0</formula>
    </cfRule>
  </conditionalFormatting>
  <conditionalFormatting sqref="D50:F51 D53:F53">
    <cfRule type="cellIs" dxfId="103" priority="105" operator="greaterThan">
      <formula>0</formula>
    </cfRule>
  </conditionalFormatting>
  <conditionalFormatting sqref="D88:F88">
    <cfRule type="cellIs" dxfId="102" priority="104" operator="greaterThan">
      <formula>0</formula>
    </cfRule>
  </conditionalFormatting>
  <conditionalFormatting sqref="D99:F99">
    <cfRule type="cellIs" dxfId="101" priority="103" operator="greaterThan">
      <formula>0</formula>
    </cfRule>
  </conditionalFormatting>
  <conditionalFormatting sqref="D100:F100">
    <cfRule type="cellIs" dxfId="100" priority="102" operator="greaterThan">
      <formula>0</formula>
    </cfRule>
  </conditionalFormatting>
  <conditionalFormatting sqref="D54:F56">
    <cfRule type="cellIs" dxfId="99" priority="101" operator="greaterThan">
      <formula>0</formula>
    </cfRule>
  </conditionalFormatting>
  <conditionalFormatting sqref="D48:F48">
    <cfRule type="cellIs" dxfId="98" priority="100" operator="greaterThan">
      <formula>0</formula>
    </cfRule>
  </conditionalFormatting>
  <conditionalFormatting sqref="D46:F46">
    <cfRule type="cellIs" dxfId="97" priority="99" operator="greaterThan">
      <formula>0</formula>
    </cfRule>
  </conditionalFormatting>
  <conditionalFormatting sqref="D57:F57">
    <cfRule type="cellIs" dxfId="96" priority="98" operator="greaterThan">
      <formula>0</formula>
    </cfRule>
  </conditionalFormatting>
  <conditionalFormatting sqref="D58:F58">
    <cfRule type="cellIs" dxfId="95" priority="96" operator="greaterThan">
      <formula>0</formula>
    </cfRule>
    <cfRule type="cellIs" dxfId="94" priority="97" operator="greaterThan">
      <formula>0</formula>
    </cfRule>
  </conditionalFormatting>
  <conditionalFormatting sqref="D59:F60">
    <cfRule type="cellIs" dxfId="93" priority="95" operator="greaterThan">
      <formula>0</formula>
    </cfRule>
  </conditionalFormatting>
  <conditionalFormatting sqref="D61:F61">
    <cfRule type="cellIs" dxfId="92" priority="94" operator="greaterThan">
      <formula>0</formula>
    </cfRule>
  </conditionalFormatting>
  <conditionalFormatting sqref="D64:F64">
    <cfRule type="cellIs" dxfId="91" priority="93" operator="greaterThan">
      <formula>0</formula>
    </cfRule>
  </conditionalFormatting>
  <conditionalFormatting sqref="D67:F67">
    <cfRule type="cellIs" dxfId="90" priority="91" operator="greaterThan">
      <formula>0</formula>
    </cfRule>
  </conditionalFormatting>
  <conditionalFormatting sqref="D66:F66">
    <cfRule type="cellIs" dxfId="89" priority="92" operator="greaterThan">
      <formula>0</formula>
    </cfRule>
  </conditionalFormatting>
  <conditionalFormatting sqref="D65:F65">
    <cfRule type="cellIs" dxfId="88" priority="90" operator="greaterThan">
      <formula>0</formula>
    </cfRule>
  </conditionalFormatting>
  <conditionalFormatting sqref="D68:F68">
    <cfRule type="cellIs" dxfId="87" priority="89" operator="greaterThan">
      <formula>0</formula>
    </cfRule>
  </conditionalFormatting>
  <conditionalFormatting sqref="D69:F69">
    <cfRule type="cellIs" dxfId="86" priority="88" operator="greaterThan">
      <formula>0</formula>
    </cfRule>
  </conditionalFormatting>
  <conditionalFormatting sqref="D70:F70">
    <cfRule type="cellIs" dxfId="85" priority="87" operator="greaterThan">
      <formula>0</formula>
    </cfRule>
  </conditionalFormatting>
  <conditionalFormatting sqref="D71:F71">
    <cfRule type="cellIs" dxfId="84" priority="86" operator="greaterThan">
      <formula>0</formula>
    </cfRule>
  </conditionalFormatting>
  <conditionalFormatting sqref="D73:F73">
    <cfRule type="cellIs" dxfId="83" priority="85" operator="greaterThan">
      <formula>0</formula>
    </cfRule>
  </conditionalFormatting>
  <conditionalFormatting sqref="D74:F74">
    <cfRule type="cellIs" dxfId="82" priority="84" operator="greaterThan">
      <formula>0</formula>
    </cfRule>
  </conditionalFormatting>
  <conditionalFormatting sqref="D75:F75">
    <cfRule type="cellIs" dxfId="81" priority="83" operator="greaterThan">
      <formula>0</formula>
    </cfRule>
  </conditionalFormatting>
  <conditionalFormatting sqref="D76:F76">
    <cfRule type="cellIs" dxfId="80" priority="82" operator="greaterThan">
      <formula>0</formula>
    </cfRule>
  </conditionalFormatting>
  <conditionalFormatting sqref="D77:F77">
    <cfRule type="cellIs" dxfId="79" priority="81" operator="greaterThan">
      <formula>0</formula>
    </cfRule>
  </conditionalFormatting>
  <conditionalFormatting sqref="D78:F78">
    <cfRule type="cellIs" dxfId="78" priority="80" operator="greaterThan">
      <formula>0</formula>
    </cfRule>
  </conditionalFormatting>
  <conditionalFormatting sqref="D80:F80">
    <cfRule type="cellIs" dxfId="77" priority="79" operator="greaterThan">
      <formula>0</formula>
    </cfRule>
  </conditionalFormatting>
  <conditionalFormatting sqref="D81:F81">
    <cfRule type="cellIs" dxfId="76" priority="78" operator="greaterThan">
      <formula>0</formula>
    </cfRule>
  </conditionalFormatting>
  <conditionalFormatting sqref="D82:F82">
    <cfRule type="cellIs" dxfId="75" priority="77" operator="greaterThan">
      <formula>0</formula>
    </cfRule>
  </conditionalFormatting>
  <conditionalFormatting sqref="D83:F83">
    <cfRule type="cellIs" dxfId="74" priority="76" operator="greaterThan">
      <formula>0</formula>
    </cfRule>
  </conditionalFormatting>
  <conditionalFormatting sqref="D84:F84">
    <cfRule type="cellIs" dxfId="73" priority="75" operator="greaterThan">
      <formula>0</formula>
    </cfRule>
  </conditionalFormatting>
  <conditionalFormatting sqref="D85:F85">
    <cfRule type="cellIs" dxfId="72" priority="74" operator="greaterThan">
      <formula>0</formula>
    </cfRule>
  </conditionalFormatting>
  <conditionalFormatting sqref="D87:F87">
    <cfRule type="cellIs" dxfId="71" priority="73" operator="greaterThan">
      <formula>0</formula>
    </cfRule>
  </conditionalFormatting>
  <conditionalFormatting sqref="D89:F89">
    <cfRule type="cellIs" dxfId="70" priority="72" operator="greaterThan">
      <formula>0</formula>
    </cfRule>
  </conditionalFormatting>
  <conditionalFormatting sqref="D91:F91">
    <cfRule type="cellIs" dxfId="69" priority="71" operator="greaterThan">
      <formula>0</formula>
    </cfRule>
  </conditionalFormatting>
  <conditionalFormatting sqref="D92:F92">
    <cfRule type="cellIs" dxfId="68" priority="70" operator="greaterThan">
      <formula>0</formula>
    </cfRule>
  </conditionalFormatting>
  <conditionalFormatting sqref="D93:F93">
    <cfRule type="cellIs" dxfId="67" priority="69" operator="greaterThan">
      <formula>0</formula>
    </cfRule>
  </conditionalFormatting>
  <conditionalFormatting sqref="D94:F94">
    <cfRule type="cellIs" dxfId="66" priority="68" operator="greaterThan">
      <formula>0</formula>
    </cfRule>
  </conditionalFormatting>
  <conditionalFormatting sqref="D95:F95">
    <cfRule type="cellIs" dxfId="65" priority="67" operator="greaterThan">
      <formula>0</formula>
    </cfRule>
  </conditionalFormatting>
  <conditionalFormatting sqref="D98:F98">
    <cfRule type="cellIs" dxfId="64" priority="65" operator="greaterThan">
      <formula>0</formula>
    </cfRule>
  </conditionalFormatting>
  <conditionalFormatting sqref="D97:F97">
    <cfRule type="cellIs" dxfId="63" priority="66" operator="greaterThan">
      <formula>0</formula>
    </cfRule>
  </conditionalFormatting>
  <conditionalFormatting sqref="D101:F101">
    <cfRule type="cellIs" dxfId="62" priority="64" operator="greaterThan">
      <formula>0</formula>
    </cfRule>
  </conditionalFormatting>
  <conditionalFormatting sqref="F105:F107">
    <cfRule type="cellIs" dxfId="61" priority="63" operator="greaterThan">
      <formula>0</formula>
    </cfRule>
  </conditionalFormatting>
  <conditionalFormatting sqref="D63:F63">
    <cfRule type="cellIs" dxfId="60" priority="61" operator="greaterThan">
      <formula>0</formula>
    </cfRule>
  </conditionalFormatting>
  <conditionalFormatting sqref="D62:F62">
    <cfRule type="cellIs" dxfId="59" priority="62" operator="greaterThan">
      <formula>0</formula>
    </cfRule>
  </conditionalFormatting>
  <conditionalFormatting sqref="D116:F117 D119:F119">
    <cfRule type="cellIs" dxfId="58" priority="59" operator="greaterThan">
      <formula>0</formula>
    </cfRule>
  </conditionalFormatting>
  <conditionalFormatting sqref="D118:F118">
    <cfRule type="cellIs" dxfId="57" priority="58" operator="greaterThan">
      <formula>0</formula>
    </cfRule>
  </conditionalFormatting>
  <conditionalFormatting sqref="M107">
    <cfRule type="cellIs" dxfId="56" priority="1" operator="greaterThan">
      <formula>0</formula>
    </cfRule>
  </conditionalFormatting>
  <conditionalFormatting sqref="K13:M17 K20:M22">
    <cfRule type="cellIs" dxfId="55" priority="57" operator="greaterThan">
      <formula>0</formula>
    </cfRule>
  </conditionalFormatting>
  <conditionalFormatting sqref="K32:M32">
    <cfRule type="cellIs" dxfId="54" priority="56" operator="greaterThan">
      <formula>0</formula>
    </cfRule>
  </conditionalFormatting>
  <conditionalFormatting sqref="K24:M28 K30:M35">
    <cfRule type="cellIs" dxfId="53" priority="55" operator="greaterThan">
      <formula>0</formula>
    </cfRule>
  </conditionalFormatting>
  <conditionalFormatting sqref="K37:M38 K40:M41">
    <cfRule type="cellIs" dxfId="52" priority="54" operator="greaterThan">
      <formula>0</formula>
    </cfRule>
  </conditionalFormatting>
  <conditionalFormatting sqref="K42:M42">
    <cfRule type="cellIs" dxfId="51" priority="53" operator="greaterThan">
      <formula>0</formula>
    </cfRule>
  </conditionalFormatting>
  <conditionalFormatting sqref="K38:M38">
    <cfRule type="cellIs" dxfId="50" priority="52" operator="greaterThan">
      <formula>0</formula>
    </cfRule>
  </conditionalFormatting>
  <conditionalFormatting sqref="K45:M45">
    <cfRule type="cellIs" dxfId="49" priority="51" operator="greaterThan">
      <formula>0</formula>
    </cfRule>
  </conditionalFormatting>
  <conditionalFormatting sqref="K47:M47">
    <cfRule type="cellIs" dxfId="48" priority="50" operator="greaterThan">
      <formula>0</formula>
    </cfRule>
  </conditionalFormatting>
  <conditionalFormatting sqref="K52:M52">
    <cfRule type="cellIs" dxfId="47" priority="49" operator="greaterThan">
      <formula>0</formula>
    </cfRule>
  </conditionalFormatting>
  <conditionalFormatting sqref="K50:M51 K53:M53">
    <cfRule type="cellIs" dxfId="46" priority="48" operator="greaterThan">
      <formula>0</formula>
    </cfRule>
  </conditionalFormatting>
  <conditionalFormatting sqref="K88:M88">
    <cfRule type="cellIs" dxfId="45" priority="47" operator="greaterThan">
      <formula>0</formula>
    </cfRule>
  </conditionalFormatting>
  <conditionalFormatting sqref="K99:M99">
    <cfRule type="cellIs" dxfId="44" priority="46" operator="greaterThan">
      <formula>0</formula>
    </cfRule>
  </conditionalFormatting>
  <conditionalFormatting sqref="K100:M100">
    <cfRule type="cellIs" dxfId="43" priority="45" operator="greaterThan">
      <formula>0</formula>
    </cfRule>
  </conditionalFormatting>
  <conditionalFormatting sqref="K54:M56">
    <cfRule type="cellIs" dxfId="42" priority="44" operator="greaterThan">
      <formula>0</formula>
    </cfRule>
  </conditionalFormatting>
  <conditionalFormatting sqref="K48:M48">
    <cfRule type="cellIs" dxfId="41" priority="43" operator="greaterThan">
      <formula>0</formula>
    </cfRule>
  </conditionalFormatting>
  <conditionalFormatting sqref="K46:M46">
    <cfRule type="cellIs" dxfId="40" priority="42" operator="greaterThan">
      <formula>0</formula>
    </cfRule>
  </conditionalFormatting>
  <conditionalFormatting sqref="K57:M57">
    <cfRule type="cellIs" dxfId="39" priority="41" operator="greaterThan">
      <formula>0</formula>
    </cfRule>
  </conditionalFormatting>
  <conditionalFormatting sqref="K58:M58">
    <cfRule type="cellIs" dxfId="38" priority="39" operator="greaterThan">
      <formula>0</formula>
    </cfRule>
    <cfRule type="cellIs" dxfId="37" priority="40" operator="greaterThan">
      <formula>0</formula>
    </cfRule>
  </conditionalFormatting>
  <conditionalFormatting sqref="K59:M60">
    <cfRule type="cellIs" dxfId="36" priority="38" operator="greaterThan">
      <formula>0</formula>
    </cfRule>
  </conditionalFormatting>
  <conditionalFormatting sqref="K61:M61">
    <cfRule type="cellIs" dxfId="35" priority="37" operator="greaterThan">
      <formula>0</formula>
    </cfRule>
  </conditionalFormatting>
  <conditionalFormatting sqref="K64:M64">
    <cfRule type="cellIs" dxfId="34" priority="36" operator="greaterThan">
      <formula>0</formula>
    </cfRule>
  </conditionalFormatting>
  <conditionalFormatting sqref="K67:M67">
    <cfRule type="cellIs" dxfId="33" priority="34" operator="greaterThan">
      <formula>0</formula>
    </cfRule>
  </conditionalFormatting>
  <conditionalFormatting sqref="K66:M66">
    <cfRule type="cellIs" dxfId="32" priority="35" operator="greaterThan">
      <formula>0</formula>
    </cfRule>
  </conditionalFormatting>
  <conditionalFormatting sqref="K65:M65">
    <cfRule type="cellIs" dxfId="31" priority="33" operator="greaterThan">
      <formula>0</formula>
    </cfRule>
  </conditionalFormatting>
  <conditionalFormatting sqref="K68:M68">
    <cfRule type="cellIs" dxfId="30" priority="32" operator="greaterThan">
      <formula>0</formula>
    </cfRule>
  </conditionalFormatting>
  <conditionalFormatting sqref="K69:M69">
    <cfRule type="cellIs" dxfId="29" priority="31" operator="greaterThan">
      <formula>0</formula>
    </cfRule>
  </conditionalFormatting>
  <conditionalFormatting sqref="K70:M70">
    <cfRule type="cellIs" dxfId="28" priority="30" operator="greaterThan">
      <formula>0</formula>
    </cfRule>
  </conditionalFormatting>
  <conditionalFormatting sqref="K71:M71">
    <cfRule type="cellIs" dxfId="27" priority="29" operator="greaterThan">
      <formula>0</formula>
    </cfRule>
  </conditionalFormatting>
  <conditionalFormatting sqref="K73:M73">
    <cfRule type="cellIs" dxfId="26" priority="28" operator="greaterThan">
      <formula>0</formula>
    </cfRule>
  </conditionalFormatting>
  <conditionalFormatting sqref="K74:M74">
    <cfRule type="cellIs" dxfId="25" priority="27" operator="greaterThan">
      <formula>0</formula>
    </cfRule>
  </conditionalFormatting>
  <conditionalFormatting sqref="K75:M75">
    <cfRule type="cellIs" dxfId="24" priority="26" operator="greaterThan">
      <formula>0</formula>
    </cfRule>
  </conditionalFormatting>
  <conditionalFormatting sqref="K76:M76">
    <cfRule type="cellIs" dxfId="23" priority="25" operator="greaterThan">
      <formula>0</formula>
    </cfRule>
  </conditionalFormatting>
  <conditionalFormatting sqref="K77:M77">
    <cfRule type="cellIs" dxfId="22" priority="24" operator="greaterThan">
      <formula>0</formula>
    </cfRule>
  </conditionalFormatting>
  <conditionalFormatting sqref="K78:M78">
    <cfRule type="cellIs" dxfId="21" priority="23" operator="greaterThan">
      <formula>0</formula>
    </cfRule>
  </conditionalFormatting>
  <conditionalFormatting sqref="K80:M80">
    <cfRule type="cellIs" dxfId="20" priority="22" operator="greaterThan">
      <formula>0</formula>
    </cfRule>
  </conditionalFormatting>
  <conditionalFormatting sqref="K81:M81">
    <cfRule type="cellIs" dxfId="19" priority="21" operator="greaterThan">
      <formula>0</formula>
    </cfRule>
  </conditionalFormatting>
  <conditionalFormatting sqref="K82:M82">
    <cfRule type="cellIs" dxfId="18" priority="20" operator="greaterThan">
      <formula>0</formula>
    </cfRule>
  </conditionalFormatting>
  <conditionalFormatting sqref="K83:M83">
    <cfRule type="cellIs" dxfId="17" priority="19" operator="greaterThan">
      <formula>0</formula>
    </cfRule>
  </conditionalFormatting>
  <conditionalFormatting sqref="K84:M84">
    <cfRule type="cellIs" dxfId="16" priority="18" operator="greaterThan">
      <formula>0</formula>
    </cfRule>
  </conditionalFormatting>
  <conditionalFormatting sqref="K85:M85">
    <cfRule type="cellIs" dxfId="15" priority="17" operator="greaterThan">
      <formula>0</formula>
    </cfRule>
  </conditionalFormatting>
  <conditionalFormatting sqref="K87:M87">
    <cfRule type="cellIs" dxfId="14" priority="16" operator="greaterThan">
      <formula>0</formula>
    </cfRule>
  </conditionalFormatting>
  <conditionalFormatting sqref="K89:M89">
    <cfRule type="cellIs" dxfId="13" priority="15" operator="greaterThan">
      <formula>0</formula>
    </cfRule>
  </conditionalFormatting>
  <conditionalFormatting sqref="K91:M91">
    <cfRule type="cellIs" dxfId="12" priority="14" operator="greaterThan">
      <formula>0</formula>
    </cfRule>
  </conditionalFormatting>
  <conditionalFormatting sqref="K92:M92">
    <cfRule type="cellIs" dxfId="11" priority="13" operator="greaterThan">
      <formula>0</formula>
    </cfRule>
  </conditionalFormatting>
  <conditionalFormatting sqref="K93:M93">
    <cfRule type="cellIs" dxfId="10" priority="12" operator="greaterThan">
      <formula>0</formula>
    </cfRule>
  </conditionalFormatting>
  <conditionalFormatting sqref="K94:M94">
    <cfRule type="cellIs" dxfId="9" priority="11" operator="greaterThan">
      <formula>0</formula>
    </cfRule>
  </conditionalFormatting>
  <conditionalFormatting sqref="K95:M95">
    <cfRule type="cellIs" dxfId="8" priority="10" operator="greaterThan">
      <formula>0</formula>
    </cfRule>
  </conditionalFormatting>
  <conditionalFormatting sqref="K98:M98">
    <cfRule type="cellIs" dxfId="7" priority="8" operator="greaterThan">
      <formula>0</formula>
    </cfRule>
  </conditionalFormatting>
  <conditionalFormatting sqref="K97:M97">
    <cfRule type="cellIs" dxfId="6" priority="9" operator="greaterThan">
      <formula>0</formula>
    </cfRule>
  </conditionalFormatting>
  <conditionalFormatting sqref="K101:M101">
    <cfRule type="cellIs" dxfId="5" priority="7" operator="greaterThan">
      <formula>0</formula>
    </cfRule>
  </conditionalFormatting>
  <conditionalFormatting sqref="M105:M107">
    <cfRule type="cellIs" dxfId="4" priority="6" operator="greaterThan">
      <formula>0</formula>
    </cfRule>
  </conditionalFormatting>
  <conditionalFormatting sqref="K116:M117 K119:M119">
    <cfRule type="cellIs" dxfId="3" priority="5" operator="greaterThan">
      <formula>0</formula>
    </cfRule>
  </conditionalFormatting>
  <conditionalFormatting sqref="K62:M62">
    <cfRule type="cellIs" dxfId="2" priority="4" operator="greaterThan">
      <formula>0</formula>
    </cfRule>
  </conditionalFormatting>
  <conditionalFormatting sqref="K63:M63">
    <cfRule type="cellIs" dxfId="1" priority="3" operator="greaterThan">
      <formula>0</formula>
    </cfRule>
  </conditionalFormatting>
  <conditionalFormatting sqref="K118:M118">
    <cfRule type="cellIs" dxfId="0" priority="2" operator="greaterThan">
      <formula>0</formula>
    </cfRule>
  </conditionalFormatting>
  <dataValidations count="22">
    <dataValidation allowBlank="1" showInputMessage="1" showErrorMessage="1" errorTitle="Orientação" error="Só é permitido realizar seleção neste campo." promptTitle="Selecione uma alternativa" prompt="_x000a_Campo de preenchimento obrigatório." sqref="K89:M89"/>
    <dataValidation type="whole" operator="greaterThanOrEqual" allowBlank="1" showInputMessage="1" showErrorMessage="1" errorTitle="Orientação" error="Só é permitido digitar os números do telefone sem parênteses e sem o traço." promptTitle="Digite somente números no campo" prompt="_x000a_Campo de preenchimento obrigatório.   " sqref="D34:F34 D118:F118">
      <formula1>0</formula1>
    </dataValidation>
    <dataValidation type="whole" operator="greaterThanOrEqual" allowBlank="1" showInputMessage="1" showErrorMessage="1" errorTitle="Orientação" error="Só é permitido digitar números do telefone sem o parênteses e sem o traço." promptTitle="Digite somente números no campo" prompt="_x000a_Campo de preenchimento obrigatório. " sqref="D33:F33">
      <formula1>0</formula1>
    </dataValidation>
    <dataValidation type="whole" operator="greaterThanOrEqual" allowBlank="1" showInputMessage="1" showErrorMessage="1" errorTitle="Orientação" error="Só é permitido digitar números do CEP sem o ponto e sem o traço." promptTitle="Digite somente números no campo." prompt="_x000a_Campo de preenchimento obrigatório." sqref="D31:F31">
      <formula1>0</formula1>
    </dataValidation>
    <dataValidation operator="greaterThanOrEqual" allowBlank="1" showInputMessage="1" showErrorMessage="1" promptTitle="Digite o complemento se houver." prompt="   " sqref="D29:F29"/>
    <dataValidation type="whole" operator="greaterThanOrEqual" allowBlank="1" showInputMessage="1" showErrorMessage="1" errorTitle="Orientação" error="Só é permitido digitar número neste campo." promptTitle="Digite o número da residência." prompt="_x000a_Campo de preenchimento obrigatório." sqref="D28:F28">
      <formula1>0</formula1>
    </dataValidation>
    <dataValidation type="whole" operator="greaterThanOrEqual" allowBlank="1" showInputMessage="1" showErrorMessage="1" errorTitle="Orientação" error="Só é permitido digitar os números do telefone sem parênteses e sem o traço." promptTitle="Digite somente números no campo." prompt="_x000a_Campo de preenchimento obrigatório." sqref="D21:F21 K21:M21">
      <formula1>0</formula1>
    </dataValidation>
    <dataValidation type="whole" operator="greaterThanOrEqual" allowBlank="1" showInputMessage="1" showErrorMessage="1" errorTitle="Orientação" error="Só é permitido digitar números do CEP sem o ponto e sem o traço." promptTitle="Digite somente números no campo." prompt="   " sqref="D19:F19 K19:M19">
      <formula1>0</formula1>
    </dataValidation>
    <dataValidation type="whole" operator="greaterThanOrEqual" allowBlank="1" showInputMessage="1" showErrorMessage="1" errorTitle="Orientação" error="Só é permitido digitar números do CNPJ sem os pontos, barra e traço." promptTitle="Digite números CNPJ sem pontos." prompt="_x000a_Campo de preenchimento obrigatório, se pessoa jurídica." sqref="D26:F26">
      <formula1>0</formula1>
    </dataValidation>
    <dataValidation type="whole" operator="greaterThan" allowBlank="1" showInputMessage="1" showErrorMessage="1" errorTitle="Orientação" error="Só é permitido digitar números do CNPJ sem os pontos, barra e traço." promptTitle="Digite números CNPJ sem pontos" prompt="_x000a_Campo de preenchimento obrigatório, se pessoa jurídica." sqref="D15:F15 K15:M15">
      <formula1>0</formula1>
    </dataValidation>
    <dataValidation type="whole" operator="greaterThanOrEqual" allowBlank="1" showInputMessage="1" showErrorMessage="1" errorTitle="Orientação" error="Só é permitido digitar números do CPF sem os pontos e o traço" promptTitle="Digite números do CPF sem pontos" prompt="_x000a_Campo de preenchimento obrigatório, se pessoa física. " sqref="D25:F25">
      <formula1>0</formula1>
    </dataValidation>
    <dataValidation type="whole" operator="greaterThanOrEqual" allowBlank="1" showInputMessage="1" showErrorMessage="1" errorTitle="Orientação" error="Só é permitido digitar números do CPF sem os pontos e o traço." promptTitle="Digite números do CPF sem pontos" prompt="_x000a_Campo de preenchimento obrigatório, se pessoa física." sqref="D14:F14 K14:M14">
      <formula1>0</formula1>
    </dataValidation>
    <dataValidation allowBlank="1" showInputMessage="1" showErrorMessage="1" promptTitle="Digite o nome fantasia          " prompt="_x000a_Campo de preenchimento obrigatório." sqref="D13:F13 K13:M13"/>
    <dataValidation allowBlank="1" showInputMessage="1" showErrorMessage="1" promptTitle="Digite o nome da barragem" prompt="_x000a_Campo de preenchimento obrigatório." sqref="D16:F16 K16:M16"/>
    <dataValidation allowBlank="1" showInputMessage="1" showErrorMessage="1" promptTitle="Digite o logradouro" prompt="_x000a_Campo de preenchimento obrigatório." sqref="D17:F17 D27:F27 K17:M17"/>
    <dataValidation allowBlank="1" showInputMessage="1" showErrorMessage="1" promptTitle="Digite o e-mail" prompt="_x000a_Campo de preenchimento obrigatório." sqref="D22:F22 D35:F35 K22:M22"/>
    <dataValidation allowBlank="1" showInputMessage="1" showErrorMessage="1" promptTitle="Digite o nome do bairro" prompt="   " sqref="D18:F18 K18:M18"/>
    <dataValidation allowBlank="1" showInputMessage="1" showErrorMessage="1" promptTitle="Digite a razão social ou nome" prompt="_x000a_Campo de preenchimento obrigatório." sqref="D24:F24"/>
    <dataValidation allowBlank="1" showInputMessage="1" showErrorMessage="1" promptTitle="Digite o nome do bairro" prompt="_x000a_Campo de preenchimento obrigatório." sqref="D30:F30"/>
    <dataValidation allowBlank="1" showInputMessage="1" showErrorMessage="1" promptTitle="Digite o nome do responsável" prompt="_x000a_Campo de preenchimento obrigatório." sqref="D116:F116"/>
    <dataValidation allowBlank="1" showInputMessage="1" showErrorMessage="1" promptTitle="Digite o cargo do responsável" prompt="_x000a_Campo de preenchimento obrigatório." sqref="D117:F117"/>
    <dataValidation allowBlank="1" showInputMessage="1" showErrorMessage="1" promptTitle="Digite o e-mail do responsável" prompt="_x000a_Campo de preenchimento obrigatório." sqref="D119:F119"/>
  </dataValidations>
  <hyperlinks>
    <hyperlink ref="D22" r:id="rId1" display="joaodasilva@gmail.com"/>
    <hyperlink ref="D35" r:id="rId2" display="JOAODASILVA@GMaiL.COM"/>
    <hyperlink ref="D119" r:id="rId3" display="joaodasilva@gmail.com"/>
    <hyperlink ref="K22" r:id="rId4" display="caemg@mg.gov.br"/>
    <hyperlink ref="K35" r:id="rId5"/>
    <hyperlink ref="K119" r:id="rId6" display="caemg@mg.gov.br"/>
  </hyperlinks>
  <pageMargins left="0.511811024" right="0.511811024" top="0.78740157499999996" bottom="0.78740157499999996" header="0.31496062000000002" footer="0.31496062000000002"/>
  <pageSetup paperSize="9" orientation="portrait" r:id="rId7"/>
  <drawing r:id="rId8"/>
  <extLst>
    <ext xmlns:x14="http://schemas.microsoft.com/office/spreadsheetml/2009/9/main" uri="{CCE6A557-97BC-4b89-ADB6-D9C93CAAB3DF}">
      <x14:dataValidations xmlns:xm="http://schemas.microsoft.com/office/excel/2006/main" count="2">
        <x14:dataValidation type="list" allowBlank="1" showInputMessage="1" showErrorMessage="1" errorTitle="Orientação" error="Só é permitido selecionar o muinicípio." promptTitle="Selecione o munícipo" prompt="_x000a_Campo de preenchimento obrigatório.">
          <x14:formula1>
            <xm:f>[1]Seleção!#REF!</xm:f>
          </x14:formula1>
          <xm:sqref>D32:F32</xm:sqref>
        </x14:dataValidation>
        <x14:dataValidation type="list" allowBlank="1" showInputMessage="1" showErrorMessage="1" errorTitle="Orientação" error="Só é permitido selecionar o município." promptTitle="Selecione o município" prompt="_x000a_Campo de preenchimento obrigatório.">
          <x14:formula1>
            <xm:f>[1]Seleção!#REF!</xm:f>
          </x14:formula1>
          <xm:sqref>D20:F20 K20:M20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pageSetUpPr fitToPage="1"/>
  </sheetPr>
  <dimension ref="A1:O115"/>
  <sheetViews>
    <sheetView zoomScale="70" zoomScaleNormal="70" workbookViewId="0">
      <selection activeCell="L19" sqref="L19"/>
    </sheetView>
  </sheetViews>
  <sheetFormatPr defaultColWidth="9.140625" defaultRowHeight="15.75" x14ac:dyDescent="0.25"/>
  <cols>
    <col min="1" max="1" width="18.5703125" style="2" customWidth="1"/>
    <col min="2" max="2" width="9.140625" style="2"/>
    <col min="3" max="3" width="18.140625" style="2" customWidth="1"/>
    <col min="4" max="5" width="9.140625" style="2"/>
    <col min="6" max="6" width="44" style="2" customWidth="1"/>
    <col min="7" max="7" width="7.28515625" style="3" customWidth="1"/>
    <col min="8" max="8" width="9.140625" style="3" customWidth="1"/>
    <col min="9" max="16384" width="9.140625" style="3"/>
  </cols>
  <sheetData>
    <row r="1" spans="1:15" ht="16.5" thickBot="1" x14ac:dyDescent="0.3"/>
    <row r="2" spans="1:15" ht="21" customHeight="1" x14ac:dyDescent="0.25">
      <c r="A2" s="493" t="s">
        <v>1140</v>
      </c>
      <c r="B2" s="494"/>
      <c r="C2" s="494"/>
      <c r="D2" s="494"/>
      <c r="E2" s="494"/>
      <c r="F2" s="495"/>
      <c r="H2" s="492" t="s">
        <v>1408</v>
      </c>
      <c r="I2" s="492"/>
      <c r="J2" s="492"/>
      <c r="K2" s="492"/>
      <c r="L2" s="492"/>
      <c r="M2" s="492"/>
      <c r="N2" s="492"/>
      <c r="O2" s="492"/>
    </row>
    <row r="3" spans="1:15" ht="15" x14ac:dyDescent="0.25">
      <c r="A3" s="496"/>
      <c r="B3" s="497"/>
      <c r="C3" s="497"/>
      <c r="D3" s="497"/>
      <c r="E3" s="497"/>
      <c r="F3" s="498"/>
      <c r="H3" s="492"/>
      <c r="I3" s="492"/>
      <c r="J3" s="492"/>
      <c r="K3" s="492"/>
      <c r="L3" s="492"/>
      <c r="M3" s="492"/>
      <c r="N3" s="492"/>
      <c r="O3" s="492"/>
    </row>
    <row r="4" spans="1:15" ht="15" x14ac:dyDescent="0.25">
      <c r="A4" s="496"/>
      <c r="B4" s="497"/>
      <c r="C4" s="497"/>
      <c r="D4" s="497"/>
      <c r="E4" s="497"/>
      <c r="F4" s="498"/>
    </row>
    <row r="5" spans="1:15" ht="26.25" customHeight="1" thickBot="1" x14ac:dyDescent="0.3">
      <c r="A5" s="499"/>
      <c r="B5" s="500"/>
      <c r="C5" s="500"/>
      <c r="D5" s="500"/>
      <c r="E5" s="500"/>
      <c r="F5" s="501"/>
    </row>
    <row r="6" spans="1:15" ht="16.5" thickBot="1" x14ac:dyDescent="0.3">
      <c r="A6" s="448" t="s">
        <v>1401</v>
      </c>
      <c r="B6" s="449"/>
      <c r="C6" s="449"/>
      <c r="D6" s="449"/>
      <c r="E6" s="449"/>
      <c r="F6" s="450"/>
    </row>
    <row r="7" spans="1:15" ht="15" x14ac:dyDescent="0.25">
      <c r="A7" s="436" t="s">
        <v>23</v>
      </c>
      <c r="B7" s="437"/>
      <c r="C7" s="437"/>
      <c r="D7" s="393" t="str">
        <f>IF('Formulário Cadastro'!$F$19&gt;0,'Formulário Cadastro'!$F$19," ")</f>
        <v xml:space="preserve"> </v>
      </c>
      <c r="E7" s="393"/>
      <c r="F7" s="394"/>
    </row>
    <row r="8" spans="1:15" ht="15" x14ac:dyDescent="0.25">
      <c r="A8" s="431" t="s">
        <v>1216</v>
      </c>
      <c r="B8" s="432"/>
      <c r="C8" s="432"/>
      <c r="D8" s="513" t="str">
        <f>IF('Formulário Cadastro'!$F$20&gt;0,'Formulário Cadastro'!$F$20," ")</f>
        <v xml:space="preserve"> </v>
      </c>
      <c r="E8" s="513"/>
      <c r="F8" s="514"/>
    </row>
    <row r="9" spans="1:15" ht="15" x14ac:dyDescent="0.25">
      <c r="A9" s="431" t="s">
        <v>1217</v>
      </c>
      <c r="B9" s="432"/>
      <c r="C9" s="432"/>
      <c r="D9" s="515" t="str">
        <f>IF('Formulário Cadastro'!$F$21&gt;0,'Formulário Cadastro'!$F$21," ")</f>
        <v xml:space="preserve"> </v>
      </c>
      <c r="E9" s="516"/>
      <c r="F9" s="517"/>
    </row>
    <row r="10" spans="1:15" ht="15.75" customHeight="1" x14ac:dyDescent="0.25">
      <c r="A10" s="518" t="s">
        <v>2</v>
      </c>
      <c r="B10" s="519"/>
      <c r="C10" s="519"/>
      <c r="D10" s="456" t="str">
        <f>IF('Formulário Cadastro'!$F$22&gt;0,'Formulário Cadastro'!$F$22," ")</f>
        <v xml:space="preserve"> </v>
      </c>
      <c r="E10" s="456"/>
      <c r="F10" s="457"/>
    </row>
    <row r="11" spans="1:15" ht="15" customHeight="1" x14ac:dyDescent="0.25">
      <c r="A11" s="391" t="s">
        <v>22</v>
      </c>
      <c r="B11" s="392" t="s">
        <v>1143</v>
      </c>
      <c r="C11" s="392"/>
      <c r="D11" s="456" t="str">
        <f>IF('Formulário Cadastro'!$F$23&gt;0,'Formulário Cadastro'!$F$23,"  ")</f>
        <v xml:space="preserve">  </v>
      </c>
      <c r="E11" s="456"/>
      <c r="F11" s="457"/>
    </row>
    <row r="12" spans="1:15" ht="15" customHeight="1" x14ac:dyDescent="0.25">
      <c r="A12" s="391"/>
      <c r="B12" s="392" t="s">
        <v>3</v>
      </c>
      <c r="C12" s="392"/>
      <c r="D12" s="456" t="str">
        <f>IF('Formulário Cadastro'!$F$24&gt;0,'Formulário Cadastro'!$F$24,"  ")</f>
        <v xml:space="preserve">  </v>
      </c>
      <c r="E12" s="456"/>
      <c r="F12" s="457"/>
    </row>
    <row r="13" spans="1:15" ht="15" x14ac:dyDescent="0.25">
      <c r="A13" s="391"/>
      <c r="B13" s="392" t="s">
        <v>5</v>
      </c>
      <c r="C13" s="392"/>
      <c r="D13" s="464" t="str">
        <f>IF('Formulário Cadastro'!$F$25&gt;0,'Formulário Cadastro'!$F$25,"  ")</f>
        <v xml:space="preserve">  </v>
      </c>
      <c r="E13" s="464"/>
      <c r="F13" s="465"/>
    </row>
    <row r="14" spans="1:15" ht="15" customHeight="1" x14ac:dyDescent="0.25">
      <c r="A14" s="391"/>
      <c r="B14" s="392" t="s">
        <v>6</v>
      </c>
      <c r="C14" s="392"/>
      <c r="D14" s="456" t="str">
        <f>IF('Formulário Cadastro'!$F$26&gt;0,'Formulário Cadastro'!$F$26,"  ")</f>
        <v xml:space="preserve">  </v>
      </c>
      <c r="E14" s="456"/>
      <c r="F14" s="457"/>
    </row>
    <row r="15" spans="1:15" ht="15" x14ac:dyDescent="0.25">
      <c r="A15" s="391"/>
      <c r="B15" s="392" t="s">
        <v>7</v>
      </c>
      <c r="C15" s="392"/>
      <c r="D15" s="466" t="str">
        <f>IF('Formulário Cadastro'!$F$27&gt;0,'Formulário Cadastro'!$F$27,"  ")</f>
        <v xml:space="preserve">  </v>
      </c>
      <c r="E15" s="466"/>
      <c r="F15" s="467"/>
    </row>
    <row r="16" spans="1:15" thickBot="1" x14ac:dyDescent="0.3">
      <c r="A16" s="397"/>
      <c r="B16" s="398" t="s">
        <v>1182</v>
      </c>
      <c r="C16" s="398"/>
      <c r="D16" s="468" t="str">
        <f>IF('Formulário Cadastro'!$F$28&gt;0,'Formulário Cadastro'!$F$28,"  ")</f>
        <v xml:space="preserve">  </v>
      </c>
      <c r="E16" s="469"/>
      <c r="F16" s="470"/>
    </row>
    <row r="17" spans="1:6" ht="16.5" thickBot="1" x14ac:dyDescent="0.3">
      <c r="A17" s="448" t="s">
        <v>0</v>
      </c>
      <c r="B17" s="449"/>
      <c r="C17" s="449"/>
      <c r="D17" s="449"/>
      <c r="E17" s="449"/>
      <c r="F17" s="450"/>
    </row>
    <row r="18" spans="1:6" ht="15" x14ac:dyDescent="0.25">
      <c r="A18" s="436" t="s">
        <v>1</v>
      </c>
      <c r="B18" s="437"/>
      <c r="C18" s="437"/>
      <c r="D18" s="393" t="str">
        <f>IF('Formulário Cadastro'!$F$30&gt;0,'Formulário Cadastro'!$F$30,"  ")</f>
        <v xml:space="preserve">  </v>
      </c>
      <c r="E18" s="393"/>
      <c r="F18" s="394"/>
    </row>
    <row r="19" spans="1:6" ht="15" x14ac:dyDescent="0.25">
      <c r="A19" s="431" t="s">
        <v>1216</v>
      </c>
      <c r="B19" s="432"/>
      <c r="C19" s="432"/>
      <c r="D19" s="451" t="str">
        <f>IF('Formulário Cadastro'!$F$31&gt;0,'Formulário Cadastro'!$F$31,"  ")</f>
        <v xml:space="preserve">  </v>
      </c>
      <c r="E19" s="451"/>
      <c r="F19" s="452"/>
    </row>
    <row r="20" spans="1:6" ht="15" x14ac:dyDescent="0.25">
      <c r="A20" s="431" t="s">
        <v>1217</v>
      </c>
      <c r="B20" s="432"/>
      <c r="C20" s="432"/>
      <c r="D20" s="453" t="str">
        <f>IF('Formulário Cadastro'!$F$32&gt;0,'Formulário Cadastro'!$F$32,"  ")</f>
        <v xml:space="preserve">  </v>
      </c>
      <c r="E20" s="453"/>
      <c r="F20" s="454"/>
    </row>
    <row r="21" spans="1:6" ht="15" x14ac:dyDescent="0.25">
      <c r="A21" s="431" t="s">
        <v>1145</v>
      </c>
      <c r="B21" s="392" t="s">
        <v>1143</v>
      </c>
      <c r="C21" s="392"/>
      <c r="D21" s="456" t="str">
        <f>IF('Formulário Cadastro'!$F$33&gt;0,'Formulário Cadastro'!$F$33," ")</f>
        <v xml:space="preserve"> </v>
      </c>
      <c r="E21" s="456"/>
      <c r="F21" s="457"/>
    </row>
    <row r="22" spans="1:6" ht="15" x14ac:dyDescent="0.25">
      <c r="A22" s="431"/>
      <c r="B22" s="392" t="s">
        <v>1144</v>
      </c>
      <c r="C22" s="392"/>
      <c r="D22" s="446" t="str">
        <f>IF('Formulário Cadastro'!$F$34&gt;0,'Formulário Cadastro'!$F$34,"  ")</f>
        <v xml:space="preserve">  </v>
      </c>
      <c r="E22" s="446"/>
      <c r="F22" s="447"/>
    </row>
    <row r="23" spans="1:6" ht="15" x14ac:dyDescent="0.25">
      <c r="A23" s="431"/>
      <c r="B23" s="392" t="s">
        <v>4</v>
      </c>
      <c r="C23" s="392"/>
      <c r="D23" s="446" t="str">
        <f>IF('Formulário Cadastro'!$F$35&gt;0,'Formulário Cadastro'!$F$35,"  ")</f>
        <v xml:space="preserve">  </v>
      </c>
      <c r="E23" s="446"/>
      <c r="F23" s="447"/>
    </row>
    <row r="24" spans="1:6" ht="15" x14ac:dyDescent="0.25">
      <c r="A24" s="431"/>
      <c r="B24" s="392" t="s">
        <v>3</v>
      </c>
      <c r="C24" s="392"/>
      <c r="D24" s="446" t="str">
        <f>IF('Formulário Cadastro'!$F$36&gt;0,'Formulário Cadastro'!$F$36,"  ")</f>
        <v xml:space="preserve">  </v>
      </c>
      <c r="E24" s="446"/>
      <c r="F24" s="447"/>
    </row>
    <row r="25" spans="1:6" ht="15" x14ac:dyDescent="0.25">
      <c r="A25" s="431"/>
      <c r="B25" s="392" t="s">
        <v>5</v>
      </c>
      <c r="C25" s="392"/>
      <c r="D25" s="458" t="str">
        <f>IF('Formulário Cadastro'!$F$37&gt;0,'Formulário Cadastro'!$F$37,"  ")</f>
        <v xml:space="preserve">  </v>
      </c>
      <c r="E25" s="458"/>
      <c r="F25" s="459"/>
    </row>
    <row r="26" spans="1:6" ht="15" x14ac:dyDescent="0.25">
      <c r="A26" s="431"/>
      <c r="B26" s="392" t="s">
        <v>6</v>
      </c>
      <c r="C26" s="392"/>
      <c r="D26" s="446" t="str">
        <f>IF('Formulário Cadastro'!$F$38&gt;0,'Formulário Cadastro'!$F$38,"  ")</f>
        <v xml:space="preserve">  </v>
      </c>
      <c r="E26" s="446"/>
      <c r="F26" s="447"/>
    </row>
    <row r="27" spans="1:6" ht="15" x14ac:dyDescent="0.25">
      <c r="A27" s="431"/>
      <c r="B27" s="392" t="s">
        <v>1061</v>
      </c>
      <c r="C27" s="392"/>
      <c r="D27" s="460" t="str">
        <f>IF('Formulário Cadastro'!$F$39&gt;0,'Formulário Cadastro'!$F$39,"  ")</f>
        <v xml:space="preserve">  </v>
      </c>
      <c r="E27" s="460"/>
      <c r="F27" s="461"/>
    </row>
    <row r="28" spans="1:6" ht="15" x14ac:dyDescent="0.25">
      <c r="A28" s="431"/>
      <c r="B28" s="392" t="s">
        <v>1062</v>
      </c>
      <c r="C28" s="392"/>
      <c r="D28" s="462" t="str">
        <f>IF('Formulário Cadastro'!$F$40&gt;0,'Formulário Cadastro'!$F$40,"  ")</f>
        <v xml:space="preserve">  </v>
      </c>
      <c r="E28" s="462"/>
      <c r="F28" s="463"/>
    </row>
    <row r="29" spans="1:6" thickBot="1" x14ac:dyDescent="0.3">
      <c r="A29" s="455"/>
      <c r="B29" s="398" t="s">
        <v>1182</v>
      </c>
      <c r="C29" s="398"/>
      <c r="D29" s="505" t="str">
        <f>IF('Formulário Cadastro'!$F$41&gt;0,'Formulário Cadastro'!$F$41,"  ")</f>
        <v xml:space="preserve">  </v>
      </c>
      <c r="E29" s="506"/>
      <c r="F29" s="507"/>
    </row>
    <row r="30" spans="1:6" ht="16.5" thickBot="1" x14ac:dyDescent="0.3">
      <c r="A30" s="441" t="s">
        <v>27</v>
      </c>
      <c r="B30" s="442"/>
      <c r="C30" s="442"/>
      <c r="D30" s="442"/>
      <c r="E30" s="442"/>
      <c r="F30" s="443"/>
    </row>
    <row r="31" spans="1:6" ht="15" x14ac:dyDescent="0.25">
      <c r="A31" s="427" t="s">
        <v>1146</v>
      </c>
      <c r="B31" s="428"/>
      <c r="C31" s="428"/>
      <c r="D31" s="393" t="str">
        <f>IF('Formulário Cadastro'!$F$43&gt;0,'Formulário Cadastro'!$F$43,"  ")</f>
        <v xml:space="preserve">  </v>
      </c>
      <c r="E31" s="508"/>
      <c r="F31" s="509"/>
    </row>
    <row r="32" spans="1:6" ht="15" x14ac:dyDescent="0.25">
      <c r="A32" s="510" t="s">
        <v>1394</v>
      </c>
      <c r="B32" s="491"/>
      <c r="C32" s="491"/>
      <c r="D32" s="511" t="str">
        <f>IF('Formulário Cadastro'!$F$44&gt;0,'Formulário Cadastro'!$F$44,"  ")</f>
        <v xml:space="preserve">  </v>
      </c>
      <c r="E32" s="511"/>
      <c r="F32" s="512"/>
    </row>
    <row r="33" spans="1:6" ht="15" x14ac:dyDescent="0.25">
      <c r="A33" s="408" t="s">
        <v>1149</v>
      </c>
      <c r="B33" s="491" t="s">
        <v>15</v>
      </c>
      <c r="C33" s="491"/>
      <c r="D33" s="489" t="str">
        <f>IF('Formulário Cadastro'!$F$45&gt;0,'Formulário Cadastro'!$F$45,"  ")</f>
        <v>SIRGAS 2000</v>
      </c>
      <c r="E33" s="489"/>
      <c r="F33" s="490"/>
    </row>
    <row r="34" spans="1:6" ht="15" x14ac:dyDescent="0.25">
      <c r="A34" s="408"/>
      <c r="B34" s="491" t="s">
        <v>1207</v>
      </c>
      <c r="C34" s="491"/>
      <c r="D34" s="484" t="str">
        <f>IF('Formulário Cadastro'!$F$46&gt;0,'Formulário Cadastro'!$F$46,"  ")</f>
        <v xml:space="preserve">  </v>
      </c>
      <c r="E34" s="484"/>
      <c r="F34" s="485"/>
    </row>
    <row r="35" spans="1:6" ht="15" x14ac:dyDescent="0.25">
      <c r="A35" s="408"/>
      <c r="B35" s="491" t="s">
        <v>1208</v>
      </c>
      <c r="C35" s="491"/>
      <c r="D35" s="484" t="str">
        <f>IF('Formulário Cadastro'!$F$47&gt;0,'Formulário Cadastro'!$F$47,"  ")</f>
        <v xml:space="preserve">  </v>
      </c>
      <c r="E35" s="484"/>
      <c r="F35" s="485"/>
    </row>
    <row r="36" spans="1:6" ht="15" x14ac:dyDescent="0.25">
      <c r="A36" s="431" t="s">
        <v>8</v>
      </c>
      <c r="B36" s="432"/>
      <c r="C36" s="432"/>
      <c r="D36" s="484" t="str">
        <f>IF('Formulário Cadastro'!$F$48&gt;0,'Formulário Cadastro'!$F$48,"  ")</f>
        <v xml:space="preserve">  </v>
      </c>
      <c r="E36" s="484"/>
      <c r="F36" s="485"/>
    </row>
    <row r="37" spans="1:6" ht="15" customHeight="1" x14ac:dyDescent="0.25">
      <c r="A37" s="431" t="s">
        <v>1260</v>
      </c>
      <c r="B37" s="392" t="s">
        <v>1259</v>
      </c>
      <c r="C37" s="392"/>
      <c r="D37" s="484" t="str">
        <f>IF('Formulário Cadastro'!$F$51&gt;0,'Formulário Cadastro'!$F$51,"  ")</f>
        <v xml:space="preserve">  </v>
      </c>
      <c r="E37" s="484"/>
      <c r="F37" s="485"/>
    </row>
    <row r="38" spans="1:6" ht="15" x14ac:dyDescent="0.25">
      <c r="A38" s="431"/>
      <c r="B38" s="488" t="s">
        <v>1274</v>
      </c>
      <c r="C38" s="488"/>
      <c r="D38" s="484" t="str">
        <f>IF('Formulário Cadastro'!$F$52&gt;0,'Formulário Cadastro'!$F$52,"  ")</f>
        <v xml:space="preserve">  </v>
      </c>
      <c r="E38" s="484"/>
      <c r="F38" s="485"/>
    </row>
    <row r="39" spans="1:6" ht="15" customHeight="1" x14ac:dyDescent="0.25">
      <c r="A39" s="431" t="s">
        <v>1261</v>
      </c>
      <c r="B39" s="392" t="s">
        <v>1259</v>
      </c>
      <c r="C39" s="392"/>
      <c r="D39" s="484" t="str">
        <f>IF('Formulário Cadastro'!$F$53&gt;0,'Formulário Cadastro'!$F$53,"  ")</f>
        <v xml:space="preserve">  </v>
      </c>
      <c r="E39" s="484"/>
      <c r="F39" s="485"/>
    </row>
    <row r="40" spans="1:6" ht="15" x14ac:dyDescent="0.25">
      <c r="A40" s="431"/>
      <c r="B40" s="488" t="s">
        <v>1274</v>
      </c>
      <c r="C40" s="488"/>
      <c r="D40" s="484" t="str">
        <f>IF('Formulário Cadastro'!$F$54&gt;0,'Formulário Cadastro'!$F$54,"  ")</f>
        <v xml:space="preserve">  </v>
      </c>
      <c r="E40" s="484"/>
      <c r="F40" s="485"/>
    </row>
    <row r="41" spans="1:6" ht="15" x14ac:dyDescent="0.25">
      <c r="A41" s="391" t="s">
        <v>1151</v>
      </c>
      <c r="B41" s="392"/>
      <c r="C41" s="392"/>
      <c r="D41" s="480" t="str">
        <f>IF('Formulário Cadastro'!$F$56&gt;0,'Formulário Cadastro'!$F$56,"  ")</f>
        <v xml:space="preserve">  </v>
      </c>
      <c r="E41" s="480"/>
      <c r="F41" s="481"/>
    </row>
    <row r="42" spans="1:6" ht="15" x14ac:dyDescent="0.25">
      <c r="A42" s="391" t="s">
        <v>1152</v>
      </c>
      <c r="B42" s="392"/>
      <c r="C42" s="392"/>
      <c r="D42" s="480" t="str">
        <f>IF('Formulário Cadastro'!$F$57&gt;0,'Formulário Cadastro'!$F$57,"  ")</f>
        <v xml:space="preserve">  </v>
      </c>
      <c r="E42" s="480"/>
      <c r="F42" s="481"/>
    </row>
    <row r="43" spans="1:6" ht="15.75" customHeight="1" x14ac:dyDescent="0.25">
      <c r="A43" s="478" t="s">
        <v>1263</v>
      </c>
      <c r="B43" s="479"/>
      <c r="C43" s="479"/>
      <c r="D43" s="484" t="str">
        <f>IF('Formulário Cadastro'!$F$58&gt;0,'Formulário Cadastro'!$F$58,"  ")</f>
        <v xml:space="preserve">  </v>
      </c>
      <c r="E43" s="484"/>
      <c r="F43" s="485"/>
    </row>
    <row r="44" spans="1:6" ht="15" x14ac:dyDescent="0.25">
      <c r="A44" s="431" t="s">
        <v>9</v>
      </c>
      <c r="B44" s="432"/>
      <c r="C44" s="432"/>
      <c r="D44" s="480" t="str">
        <f>IF('Formulário Cadastro'!$F$59&gt;0,'Formulário Cadastro'!$F$59,"  ")</f>
        <v xml:space="preserve">  </v>
      </c>
      <c r="E44" s="480"/>
      <c r="F44" s="481"/>
    </row>
    <row r="45" spans="1:6" x14ac:dyDescent="0.25">
      <c r="A45" s="478" t="s">
        <v>1273</v>
      </c>
      <c r="B45" s="479"/>
      <c r="C45" s="479"/>
      <c r="D45" s="484" t="str">
        <f>IF('Formulário Cadastro'!$F$60&gt;0,'Formulário Cadastro'!$F$60,"  ")</f>
        <v xml:space="preserve">  </v>
      </c>
      <c r="E45" s="484"/>
      <c r="F45" s="485"/>
    </row>
    <row r="46" spans="1:6" ht="15" x14ac:dyDescent="0.25">
      <c r="A46" s="391" t="s">
        <v>1272</v>
      </c>
      <c r="B46" s="392"/>
      <c r="C46" s="392"/>
      <c r="D46" s="484" t="str">
        <f>IF('Formulário Cadastro'!$F$61&gt;0,'Formulário Cadastro'!$F$61,"  ")</f>
        <v xml:space="preserve">  </v>
      </c>
      <c r="E46" s="484"/>
      <c r="F46" s="485"/>
    </row>
    <row r="47" spans="1:6" ht="27.75" customHeight="1" x14ac:dyDescent="0.25">
      <c r="A47" s="431" t="s">
        <v>1271</v>
      </c>
      <c r="B47" s="432"/>
      <c r="C47" s="432"/>
      <c r="D47" s="484" t="str">
        <f>IF('Formulário Cadastro'!$F$62&gt;0,'Formulário Cadastro'!$F$62,"  ")</f>
        <v xml:space="preserve">  </v>
      </c>
      <c r="E47" s="484"/>
      <c r="F47" s="485"/>
    </row>
    <row r="48" spans="1:6" ht="15" x14ac:dyDescent="0.25">
      <c r="A48" s="431" t="s">
        <v>1279</v>
      </c>
      <c r="B48" s="432" t="s">
        <v>1276</v>
      </c>
      <c r="C48" s="432"/>
      <c r="D48" s="484" t="str">
        <f>IF('Formulário Cadastro'!$F$63&gt;0,'Formulário Cadastro'!$F$63,"  ")</f>
        <v xml:space="preserve">  </v>
      </c>
      <c r="E48" s="484"/>
      <c r="F48" s="485"/>
    </row>
    <row r="49" spans="1:6" ht="36" customHeight="1" x14ac:dyDescent="0.25">
      <c r="A49" s="431"/>
      <c r="B49" s="432" t="s">
        <v>1275</v>
      </c>
      <c r="C49" s="432"/>
      <c r="D49" s="484" t="str">
        <f>IF('Formulário Cadastro'!$F$64&gt;0,'Formulário Cadastro'!$F$64,"  ")</f>
        <v xml:space="preserve">  </v>
      </c>
      <c r="E49" s="484"/>
      <c r="F49" s="485"/>
    </row>
    <row r="50" spans="1:6" ht="45.75" customHeight="1" x14ac:dyDescent="0.25">
      <c r="A50" s="431" t="s">
        <v>1209</v>
      </c>
      <c r="B50" s="432"/>
      <c r="C50" s="432"/>
      <c r="D50" s="486" t="str">
        <f>IF('Formulário Cadastro'!$F$65&gt;0,'Formulário Cadastro'!$F$65,"  ")</f>
        <v xml:space="preserve">  </v>
      </c>
      <c r="E50" s="486"/>
      <c r="F50" s="487"/>
    </row>
    <row r="51" spans="1:6" ht="15" x14ac:dyDescent="0.25">
      <c r="A51" s="431" t="s">
        <v>1211</v>
      </c>
      <c r="B51" s="432"/>
      <c r="C51" s="432"/>
      <c r="D51" s="439" t="str">
        <f>IF('Formulário Cadastro'!$F$66&gt;0,'Formulário Cadastro'!$F$66/100,"  ")</f>
        <v xml:space="preserve">  </v>
      </c>
      <c r="E51" s="439"/>
      <c r="F51" s="440"/>
    </row>
    <row r="52" spans="1:6" ht="15" customHeight="1" x14ac:dyDescent="0.25">
      <c r="A52" s="431" t="s">
        <v>1321</v>
      </c>
      <c r="B52" s="432"/>
      <c r="C52" s="432"/>
      <c r="D52" s="484" t="str">
        <f>IF('Formulário Cadastro'!$F$67&gt;0,'Formulário Cadastro'!$F$67,"  ")</f>
        <v xml:space="preserve">  </v>
      </c>
      <c r="E52" s="484"/>
      <c r="F52" s="485"/>
    </row>
    <row r="53" spans="1:6" ht="31.5" customHeight="1" x14ac:dyDescent="0.25">
      <c r="A53" s="431" t="s">
        <v>1153</v>
      </c>
      <c r="B53" s="432"/>
      <c r="C53" s="432"/>
      <c r="D53" s="446" t="str">
        <f>IF('Formulário Cadastro'!$F$68&gt;0,'Formulário Cadastro'!$F$68/100,"  ")</f>
        <v xml:space="preserve">  </v>
      </c>
      <c r="E53" s="446"/>
      <c r="F53" s="447"/>
    </row>
    <row r="54" spans="1:6" ht="32.25" customHeight="1" x14ac:dyDescent="0.25">
      <c r="A54" s="431" t="s">
        <v>1154</v>
      </c>
      <c r="B54" s="432"/>
      <c r="C54" s="432"/>
      <c r="D54" s="439" t="str">
        <f>IF('Formulário Cadastro'!$F$69&gt;0,'Formulário Cadastro'!$F$69/100,"  ")</f>
        <v xml:space="preserve">  </v>
      </c>
      <c r="E54" s="439"/>
      <c r="F54" s="440"/>
    </row>
    <row r="55" spans="1:6" ht="32.25" customHeight="1" thickBot="1" x14ac:dyDescent="0.3">
      <c r="A55" s="431" t="s">
        <v>1332</v>
      </c>
      <c r="B55" s="432"/>
      <c r="C55" s="432"/>
      <c r="D55" s="439" t="str">
        <f>IF('Formulário Cadastro'!$F$70&gt;0,'Formulário Cadastro'!$F$70/100,"  ")</f>
        <v xml:space="preserve">  </v>
      </c>
      <c r="E55" s="439"/>
      <c r="F55" s="440"/>
    </row>
    <row r="56" spans="1:6" ht="16.5" thickBot="1" x14ac:dyDescent="0.3">
      <c r="A56" s="441" t="s">
        <v>27</v>
      </c>
      <c r="B56" s="442"/>
      <c r="C56" s="442"/>
      <c r="D56" s="442"/>
      <c r="E56" s="442"/>
      <c r="F56" s="443"/>
    </row>
    <row r="57" spans="1:6" ht="15" x14ac:dyDescent="0.25">
      <c r="A57" s="431" t="s">
        <v>12</v>
      </c>
      <c r="B57" s="432"/>
      <c r="C57" s="432"/>
      <c r="D57" s="439" t="str">
        <f>IF('Formulário Cadastro'!$F$71&gt;0,'Formulário Cadastro'!$F$71/100,"  ")</f>
        <v xml:space="preserve">  </v>
      </c>
      <c r="E57" s="439"/>
      <c r="F57" s="440"/>
    </row>
    <row r="58" spans="1:6" ht="15" x14ac:dyDescent="0.25">
      <c r="A58" s="431" t="s">
        <v>1210</v>
      </c>
      <c r="B58" s="432"/>
      <c r="C58" s="432"/>
      <c r="D58" s="444" t="str">
        <f>IF('Formulário Cadastro'!$F$72&gt;0,'Formulário Cadastro'!$F$72,"  ")</f>
        <v xml:space="preserve">  </v>
      </c>
      <c r="E58" s="444"/>
      <c r="F58" s="445"/>
    </row>
    <row r="59" spans="1:6" ht="15" x14ac:dyDescent="0.25">
      <c r="A59" s="431" t="s">
        <v>1329</v>
      </c>
      <c r="B59" s="432"/>
      <c r="C59" s="432"/>
      <c r="D59" s="444" t="str">
        <f>IF('Formulário Cadastro'!$F$73&gt;0,'Formulário Cadastro'!$F$73,"  ")</f>
        <v xml:space="preserve">  </v>
      </c>
      <c r="E59" s="444"/>
      <c r="F59" s="445"/>
    </row>
    <row r="60" spans="1:6" ht="33.75" customHeight="1" x14ac:dyDescent="0.25">
      <c r="A60" s="431" t="s">
        <v>1155</v>
      </c>
      <c r="B60" s="432"/>
      <c r="C60" s="432"/>
      <c r="D60" s="446" t="str">
        <f>IF('Formulário Cadastro'!$F$74&gt;0,'Formulário Cadastro'!$F$74,"  ")</f>
        <v xml:space="preserve">  </v>
      </c>
      <c r="E60" s="446"/>
      <c r="F60" s="447"/>
    </row>
    <row r="61" spans="1:6" ht="15" customHeight="1" x14ac:dyDescent="0.25">
      <c r="A61" s="431" t="s">
        <v>11</v>
      </c>
      <c r="B61" s="432"/>
      <c r="C61" s="432"/>
      <c r="D61" s="446" t="str">
        <f>IF('Formulário Cadastro'!$F$75&gt;0,'Formulário Cadastro'!$F$75,"  ")</f>
        <v xml:space="preserve">  </v>
      </c>
      <c r="E61" s="446"/>
      <c r="F61" s="447"/>
    </row>
    <row r="62" spans="1:6" ht="15" x14ac:dyDescent="0.25">
      <c r="A62" s="431" t="s">
        <v>17</v>
      </c>
      <c r="B62" s="432"/>
      <c r="C62" s="432"/>
      <c r="D62" s="446" t="str">
        <f>IF('Formulário Cadastro'!$F$76&gt;0,'Formulário Cadastro'!$F$76,"  ")</f>
        <v xml:space="preserve">  </v>
      </c>
      <c r="E62" s="446"/>
      <c r="F62" s="447"/>
    </row>
    <row r="63" spans="1:6" thickBot="1" x14ac:dyDescent="0.3">
      <c r="A63" s="455" t="s">
        <v>1213</v>
      </c>
      <c r="B63" s="471"/>
      <c r="C63" s="471"/>
      <c r="D63" s="446" t="str">
        <f>IF('Formulário Cadastro'!$F$77&gt;0,'Formulário Cadastro'!$F$77,"  ")</f>
        <v xml:space="preserve">  </v>
      </c>
      <c r="E63" s="446"/>
      <c r="F63" s="447"/>
    </row>
    <row r="64" spans="1:6" ht="16.5" thickBot="1" x14ac:dyDescent="0.3">
      <c r="A64" s="433" t="s">
        <v>1077</v>
      </c>
      <c r="B64" s="434"/>
      <c r="C64" s="434"/>
      <c r="D64" s="434"/>
      <c r="E64" s="434"/>
      <c r="F64" s="435"/>
    </row>
    <row r="65" spans="1:6" ht="89.25" customHeight="1" x14ac:dyDescent="0.25">
      <c r="A65" s="436" t="s">
        <v>21</v>
      </c>
      <c r="B65" s="437"/>
      <c r="C65" s="437"/>
      <c r="D65" s="429" t="str">
        <f>IF('Formulário Cadastro'!$F$79&gt;0,'Formulário Cadastro'!$F$79,"  ")</f>
        <v xml:space="preserve">  </v>
      </c>
      <c r="E65" s="429"/>
      <c r="F65" s="430"/>
    </row>
    <row r="66" spans="1:6" ht="75.75" customHeight="1" x14ac:dyDescent="0.25">
      <c r="A66" s="408" t="s">
        <v>1156</v>
      </c>
      <c r="B66" s="409"/>
      <c r="C66" s="409"/>
      <c r="D66" s="429" t="str">
        <f>IF('Formulário Cadastro'!$F$80&gt;0,'Formulário Cadastro'!$F$80,"  ")</f>
        <v xml:space="preserve">  </v>
      </c>
      <c r="E66" s="429"/>
      <c r="F66" s="430"/>
    </row>
    <row r="67" spans="1:6" ht="42.75" customHeight="1" x14ac:dyDescent="0.25">
      <c r="A67" s="408" t="s">
        <v>18</v>
      </c>
      <c r="B67" s="409"/>
      <c r="C67" s="409"/>
      <c r="D67" s="429" t="str">
        <f>IF('Formulário Cadastro'!$F$81&gt;0,'Formulário Cadastro'!$F$81,"  ")</f>
        <v xml:space="preserve">  </v>
      </c>
      <c r="E67" s="429"/>
      <c r="F67" s="430"/>
    </row>
    <row r="68" spans="1:6" ht="51.75" customHeight="1" x14ac:dyDescent="0.25">
      <c r="A68" s="408" t="s">
        <v>20</v>
      </c>
      <c r="B68" s="409"/>
      <c r="C68" s="409"/>
      <c r="D68" s="429" t="str">
        <f>IF('Formulário Cadastro'!$F$82&gt;0,'Formulário Cadastro'!$F$82,"  ")</f>
        <v xml:space="preserve">  </v>
      </c>
      <c r="E68" s="429"/>
      <c r="F68" s="430"/>
    </row>
    <row r="69" spans="1:6" ht="61.5" customHeight="1" x14ac:dyDescent="0.25">
      <c r="A69" s="431" t="s">
        <v>1074</v>
      </c>
      <c r="B69" s="432"/>
      <c r="C69" s="432"/>
      <c r="D69" s="429" t="str">
        <f>IF('Formulário Cadastro'!$F$83&gt;0,'Formulário Cadastro'!$F$83,"  ")</f>
        <v xml:space="preserve">  </v>
      </c>
      <c r="E69" s="429"/>
      <c r="F69" s="430"/>
    </row>
    <row r="70" spans="1:6" ht="51.75" customHeight="1" thickBot="1" x14ac:dyDescent="0.3">
      <c r="A70" s="455" t="s">
        <v>1157</v>
      </c>
      <c r="B70" s="471"/>
      <c r="C70" s="471"/>
      <c r="D70" s="429" t="str">
        <f>IF('Formulário Cadastro'!$F$84&gt;0,'Formulário Cadastro'!$F$84,"  ")</f>
        <v xml:space="preserve">  </v>
      </c>
      <c r="E70" s="429"/>
      <c r="F70" s="430"/>
    </row>
    <row r="71" spans="1:6" ht="16.5" thickBot="1" x14ac:dyDescent="0.3">
      <c r="A71" s="433" t="s">
        <v>1132</v>
      </c>
      <c r="B71" s="434"/>
      <c r="C71" s="434"/>
      <c r="D71" s="434"/>
      <c r="E71" s="434"/>
      <c r="F71" s="435"/>
    </row>
    <row r="72" spans="1:6" ht="33" customHeight="1" x14ac:dyDescent="0.25">
      <c r="A72" s="482" t="s">
        <v>1398</v>
      </c>
      <c r="B72" s="483"/>
      <c r="C72" s="483"/>
      <c r="D72" s="429" t="str">
        <f>IF('Formulário Cadastro'!$F$86&gt;0,'Formulário Cadastro'!$F$86,"  ")</f>
        <v xml:space="preserve">  </v>
      </c>
      <c r="E72" s="429"/>
      <c r="F72" s="430"/>
    </row>
    <row r="73" spans="1:6" ht="15" customHeight="1" x14ac:dyDescent="0.25">
      <c r="A73" s="408" t="s">
        <v>1393</v>
      </c>
      <c r="B73" s="409"/>
      <c r="C73" s="409"/>
      <c r="D73" s="429" t="str">
        <f>IF('Formulário Cadastro'!$F$87&gt;0,'Formulário Cadastro'!$F$87,"  ")</f>
        <v xml:space="preserve">  </v>
      </c>
      <c r="E73" s="429"/>
      <c r="F73" s="430"/>
    </row>
    <row r="74" spans="1:6" ht="51" customHeight="1" x14ac:dyDescent="0.25">
      <c r="A74" s="408" t="s">
        <v>1158</v>
      </c>
      <c r="B74" s="409"/>
      <c r="C74" s="409"/>
      <c r="D74" s="429" t="str">
        <f>IF('Formulário Cadastro'!$F$88&gt;0,'Formulário Cadastro'!$F$88,"  ")</f>
        <v xml:space="preserve">  </v>
      </c>
      <c r="E74" s="429"/>
      <c r="F74" s="430"/>
    </row>
    <row r="75" spans="1:6" ht="36" customHeight="1" x14ac:dyDescent="0.25">
      <c r="A75" s="408" t="s">
        <v>1159</v>
      </c>
      <c r="B75" s="409"/>
      <c r="C75" s="409"/>
      <c r="D75" s="429" t="str">
        <f>IF('Formulário Cadastro'!$F$89&gt;0,'Formulário Cadastro'!$F$89,"  ")</f>
        <v xml:space="preserve">  </v>
      </c>
      <c r="E75" s="429"/>
      <c r="F75" s="430"/>
    </row>
    <row r="76" spans="1:6" ht="35.25" customHeight="1" x14ac:dyDescent="0.25">
      <c r="A76" s="408" t="s">
        <v>19</v>
      </c>
      <c r="B76" s="409"/>
      <c r="C76" s="409"/>
      <c r="D76" s="429" t="str">
        <f>IF('Formulário Cadastro'!$F$90&gt;0,'Formulário Cadastro'!$F$90,"  ")</f>
        <v xml:space="preserve">  </v>
      </c>
      <c r="E76" s="429"/>
      <c r="F76" s="430"/>
    </row>
    <row r="77" spans="1:6" ht="39.75" customHeight="1" x14ac:dyDescent="0.25">
      <c r="A77" s="408" t="s">
        <v>1160</v>
      </c>
      <c r="B77" s="409"/>
      <c r="C77" s="409"/>
      <c r="D77" s="429" t="str">
        <f>IF('Formulário Cadastro'!$F$91&gt;0,'Formulário Cadastro'!$F$91,"  ")</f>
        <v xml:space="preserve">  </v>
      </c>
      <c r="E77" s="429"/>
      <c r="F77" s="430"/>
    </row>
    <row r="78" spans="1:6" ht="34.5" customHeight="1" x14ac:dyDescent="0.25">
      <c r="A78" s="431" t="s">
        <v>1161</v>
      </c>
      <c r="B78" s="432"/>
      <c r="C78" s="432"/>
      <c r="D78" s="429" t="str">
        <f>IF('Formulário Cadastro'!$F$92&gt;0,'Formulário Cadastro'!$F$92,"  ")</f>
        <v xml:space="preserve">  </v>
      </c>
      <c r="E78" s="429"/>
      <c r="F78" s="430"/>
    </row>
    <row r="79" spans="1:6" ht="22.5" customHeight="1" x14ac:dyDescent="0.25">
      <c r="A79" s="431" t="s">
        <v>1162</v>
      </c>
      <c r="B79" s="432"/>
      <c r="C79" s="432"/>
      <c r="D79" s="429" t="str">
        <f>IF('Formulário Cadastro'!$F$93&gt;0,'Formulário Cadastro'!$F$93,"  ")</f>
        <v xml:space="preserve">  </v>
      </c>
      <c r="E79" s="429"/>
      <c r="F79" s="430"/>
    </row>
    <row r="80" spans="1:6" ht="15" x14ac:dyDescent="0.25">
      <c r="A80" s="431" t="s">
        <v>1163</v>
      </c>
      <c r="B80" s="432"/>
      <c r="C80" s="432"/>
      <c r="D80" s="429" t="str">
        <f>IF('Formulário Cadastro'!$F$94&gt;0,'Formulário Cadastro'!$F$94,"  ")</f>
        <v xml:space="preserve">  </v>
      </c>
      <c r="E80" s="429"/>
      <c r="F80" s="430"/>
    </row>
    <row r="81" spans="1:6" ht="15" customHeight="1" x14ac:dyDescent="0.25">
      <c r="A81" s="432" t="s">
        <v>1164</v>
      </c>
      <c r="B81" s="432"/>
      <c r="C81" s="432"/>
      <c r="D81" s="429" t="str">
        <f>IF('Formulário Cadastro'!$F$95&gt;0,'Formulário Cadastro'!$F$95,"  ")</f>
        <v xml:space="preserve">  </v>
      </c>
      <c r="E81" s="429"/>
      <c r="F81" s="430"/>
    </row>
    <row r="82" spans="1:6" ht="2.25" customHeight="1" thickBot="1" x14ac:dyDescent="0.3">
      <c r="A82" s="438"/>
      <c r="B82" s="438"/>
      <c r="C82" s="438"/>
      <c r="D82" s="438"/>
      <c r="E82" s="438"/>
      <c r="F82" s="438"/>
    </row>
    <row r="83" spans="1:6" ht="16.5" thickBot="1" x14ac:dyDescent="0.3">
      <c r="A83" s="433" t="s">
        <v>1343</v>
      </c>
      <c r="B83" s="434"/>
      <c r="C83" s="434"/>
      <c r="D83" s="434"/>
      <c r="E83" s="434"/>
      <c r="F83" s="435"/>
    </row>
    <row r="84" spans="1:6" ht="85.5" customHeight="1" x14ac:dyDescent="0.25">
      <c r="A84" s="436" t="s">
        <v>1165</v>
      </c>
      <c r="B84" s="437"/>
      <c r="C84" s="437"/>
      <c r="D84" s="429" t="str">
        <f>IF('Formulário Cadastro'!$F$97&gt;0,'Formulário Cadastro'!$F$97,"  ")</f>
        <v xml:space="preserve">  </v>
      </c>
      <c r="E84" s="429"/>
      <c r="F84" s="430"/>
    </row>
    <row r="85" spans="1:6" ht="75.75" customHeight="1" x14ac:dyDescent="0.25">
      <c r="A85" s="431" t="s">
        <v>1166</v>
      </c>
      <c r="B85" s="432"/>
      <c r="C85" s="432"/>
      <c r="D85" s="429" t="str">
        <f>IF('Formulário Cadastro'!$F$98&gt;0,'Formulário Cadastro'!$F$98,"  ")</f>
        <v xml:space="preserve">  </v>
      </c>
      <c r="E85" s="429"/>
      <c r="F85" s="430"/>
    </row>
    <row r="86" spans="1:6" ht="73.5" customHeight="1" x14ac:dyDescent="0.25">
      <c r="A86" s="431" t="s">
        <v>1167</v>
      </c>
      <c r="B86" s="432"/>
      <c r="C86" s="432"/>
      <c r="D86" s="429" t="str">
        <f>IF('Formulário Cadastro'!$F$99&gt;0,'Formulário Cadastro'!$F$99,"  ")</f>
        <v xml:space="preserve">  </v>
      </c>
      <c r="E86" s="429"/>
      <c r="F86" s="430"/>
    </row>
    <row r="87" spans="1:6" ht="40.5" customHeight="1" x14ac:dyDescent="0.25">
      <c r="A87" s="431" t="s">
        <v>1168</v>
      </c>
      <c r="B87" s="432"/>
      <c r="C87" s="432"/>
      <c r="D87" s="429" t="str">
        <f>IF('Formulário Cadastro'!$F$100&gt;0,'Formulário Cadastro'!$F$100,"  ")</f>
        <v xml:space="preserve">  </v>
      </c>
      <c r="E87" s="429"/>
      <c r="F87" s="430"/>
    </row>
    <row r="88" spans="1:6" thickBot="1" x14ac:dyDescent="0.3">
      <c r="A88" s="455" t="s">
        <v>1063</v>
      </c>
      <c r="B88" s="471"/>
      <c r="C88" s="471"/>
      <c r="D88" s="429" t="str">
        <f>IF('Formulário Cadastro'!$F$101&gt;0,'Formulário Cadastro'!$F$101,"  ")</f>
        <v xml:space="preserve">  </v>
      </c>
      <c r="E88" s="429"/>
      <c r="F88" s="430"/>
    </row>
    <row r="89" spans="1:6" ht="16.5" thickBot="1" x14ac:dyDescent="0.3">
      <c r="A89" s="448" t="s">
        <v>26</v>
      </c>
      <c r="B89" s="449"/>
      <c r="C89" s="449"/>
      <c r="D89" s="449"/>
      <c r="E89" s="449"/>
      <c r="F89" s="450"/>
    </row>
    <row r="90" spans="1:6" ht="35.25" customHeight="1" x14ac:dyDescent="0.25">
      <c r="A90" s="427" t="s">
        <v>1169</v>
      </c>
      <c r="B90" s="428"/>
      <c r="C90" s="428"/>
      <c r="D90" s="429" t="str">
        <f>IF('Formulário Cadastro'!$F$103&gt;0,'Formulário Cadastro'!$F$103,"  ")</f>
        <v xml:space="preserve">  </v>
      </c>
      <c r="E90" s="429"/>
      <c r="F90" s="430"/>
    </row>
    <row r="91" spans="1:6" ht="15" x14ac:dyDescent="0.25">
      <c r="A91" s="472" t="s">
        <v>1170</v>
      </c>
      <c r="B91" s="473"/>
      <c r="C91" s="473"/>
      <c r="D91" s="474" t="str">
        <f>IF('Formulário Cadastro'!$F$104&gt;0,'Formulário Cadastro'!$F$104,"  ")</f>
        <v xml:space="preserve">  </v>
      </c>
      <c r="E91" s="474"/>
      <c r="F91" s="475"/>
    </row>
    <row r="92" spans="1:6" ht="15" x14ac:dyDescent="0.25">
      <c r="A92" s="476" t="s">
        <v>1171</v>
      </c>
      <c r="B92" s="477"/>
      <c r="C92" s="477"/>
      <c r="D92" s="480" t="str">
        <f>IF('Formulário Cadastro'!$F$105&gt;0,'Formulário Cadastro'!$F$105,"  ")</f>
        <v xml:space="preserve">  </v>
      </c>
      <c r="E92" s="480"/>
      <c r="F92" s="481"/>
    </row>
    <row r="93" spans="1:6" x14ac:dyDescent="0.25">
      <c r="A93" s="478" t="s">
        <v>1172</v>
      </c>
      <c r="B93" s="479"/>
      <c r="C93" s="479"/>
      <c r="D93" s="480" t="str">
        <f>IF('Formulário Cadastro'!$F$106&gt;0,'Formulário Cadastro'!$F$106,"  ")</f>
        <v xml:space="preserve">  </v>
      </c>
      <c r="E93" s="480"/>
      <c r="F93" s="481"/>
    </row>
    <row r="94" spans="1:6" thickBot="1" x14ac:dyDescent="0.3">
      <c r="A94" s="397" t="s">
        <v>13</v>
      </c>
      <c r="B94" s="398"/>
      <c r="C94" s="398"/>
      <c r="D94" s="429" t="str">
        <f>IF('Formulário Cadastro'!$F$107&gt;0,'Formulário Cadastro'!$F$107,"  ")</f>
        <v xml:space="preserve">  </v>
      </c>
      <c r="E94" s="429"/>
      <c r="F94" s="430"/>
    </row>
    <row r="95" spans="1:6" ht="16.5" thickBot="1" x14ac:dyDescent="0.3">
      <c r="A95" s="412" t="s">
        <v>1041</v>
      </c>
      <c r="B95" s="413"/>
      <c r="C95" s="413"/>
      <c r="D95" s="413"/>
      <c r="E95" s="413"/>
      <c r="F95" s="414"/>
    </row>
    <row r="96" spans="1:6" ht="409.5" customHeight="1" x14ac:dyDescent="0.25">
      <c r="A96" s="402" t="str">
        <f>IF('Formulário Cadastro'!$C$109&gt;0,'Formulário Cadastro'!$C$109,"  ")</f>
        <v xml:space="preserve">  </v>
      </c>
      <c r="B96" s="403"/>
      <c r="C96" s="403"/>
      <c r="D96" s="403"/>
      <c r="E96" s="403"/>
      <c r="F96" s="404"/>
    </row>
    <row r="97" spans="1:6" x14ac:dyDescent="0.25">
      <c r="A97" s="405" t="s">
        <v>1341</v>
      </c>
      <c r="B97" s="406"/>
      <c r="C97" s="406"/>
      <c r="D97" s="406"/>
      <c r="E97" s="406"/>
      <c r="F97" s="407"/>
    </row>
    <row r="98" spans="1:6" ht="15" x14ac:dyDescent="0.25">
      <c r="A98" s="408" t="s">
        <v>1395</v>
      </c>
      <c r="B98" s="409"/>
      <c r="C98" s="409"/>
      <c r="D98" s="409"/>
      <c r="E98" s="409"/>
      <c r="F98" s="81" t="e">
        <f>IF('Formulário Cadastro'!$H$111&gt;0,'Formulário Cadastro'!$H$111,"  ")</f>
        <v>#N/A</v>
      </c>
    </row>
    <row r="99" spans="1:6" ht="15" x14ac:dyDescent="0.25">
      <c r="A99" s="408" t="s">
        <v>1396</v>
      </c>
      <c r="B99" s="409"/>
      <c r="C99" s="409"/>
      <c r="D99" s="409"/>
      <c r="E99" s="409"/>
      <c r="F99" s="81" t="e">
        <f>IF('Formulário Cadastro'!$H$112&gt;0,'Formulário Cadastro'!$H$112,"  ")</f>
        <v>#N/A</v>
      </c>
    </row>
    <row r="100" spans="1:6" thickBot="1" x14ac:dyDescent="0.3">
      <c r="A100" s="410" t="s">
        <v>1397</v>
      </c>
      <c r="B100" s="411"/>
      <c r="C100" s="411"/>
      <c r="D100" s="411"/>
      <c r="E100" s="411"/>
      <c r="F100" s="82" t="e">
        <f>IF('Formulário Cadastro'!$H$113&gt;0,'Formulário Cadastro'!$H$113,"  ")</f>
        <v>#N/A</v>
      </c>
    </row>
    <row r="101" spans="1:6" ht="16.5" thickBot="1" x14ac:dyDescent="0.3">
      <c r="A101" s="412" t="s">
        <v>1342</v>
      </c>
      <c r="B101" s="413"/>
      <c r="C101" s="413"/>
      <c r="D101" s="413"/>
      <c r="E101" s="413"/>
      <c r="F101" s="414"/>
    </row>
    <row r="102" spans="1:6" ht="15" x14ac:dyDescent="0.25">
      <c r="A102" s="415" t="e">
        <f>IF('Formulário Cadastro'!$C$115&gt;0,'Formulário Cadastro'!$C$115,"  ")</f>
        <v>#N/A</v>
      </c>
      <c r="B102" s="416"/>
      <c r="C102" s="416"/>
      <c r="D102" s="416"/>
      <c r="E102" s="416"/>
      <c r="F102" s="417"/>
    </row>
    <row r="103" spans="1:6" ht="15" x14ac:dyDescent="0.25">
      <c r="A103" s="418"/>
      <c r="B103" s="419"/>
      <c r="C103" s="419"/>
      <c r="D103" s="419"/>
      <c r="E103" s="419"/>
      <c r="F103" s="420"/>
    </row>
    <row r="104" spans="1:6" ht="15" x14ac:dyDescent="0.25">
      <c r="A104" s="418"/>
      <c r="B104" s="419"/>
      <c r="C104" s="419"/>
      <c r="D104" s="419"/>
      <c r="E104" s="419"/>
      <c r="F104" s="420"/>
    </row>
    <row r="105" spans="1:6" ht="15" x14ac:dyDescent="0.25">
      <c r="A105" s="418"/>
      <c r="B105" s="419"/>
      <c r="C105" s="419"/>
      <c r="D105" s="419"/>
      <c r="E105" s="419"/>
      <c r="F105" s="420"/>
    </row>
    <row r="106" spans="1:6" ht="15" x14ac:dyDescent="0.25">
      <c r="A106" s="421"/>
      <c r="B106" s="422"/>
      <c r="C106" s="422"/>
      <c r="D106" s="422"/>
      <c r="E106" s="422"/>
      <c r="F106" s="423"/>
    </row>
    <row r="107" spans="1:6" ht="82.5" customHeight="1" thickBot="1" x14ac:dyDescent="0.3">
      <c r="A107" s="424" t="e">
        <f>IF('Formulário Cadastro'!$C$120&gt;0,'Formulário Cadastro'!$C$120,"  ")</f>
        <v>#N/A</v>
      </c>
      <c r="B107" s="425"/>
      <c r="C107" s="425"/>
      <c r="D107" s="425"/>
      <c r="E107" s="425"/>
      <c r="F107" s="426"/>
    </row>
    <row r="108" spans="1:6" ht="16.5" thickBot="1" x14ac:dyDescent="0.3">
      <c r="A108" s="412" t="s">
        <v>10</v>
      </c>
      <c r="B108" s="413"/>
      <c r="C108" s="413"/>
      <c r="D108" s="413"/>
      <c r="E108" s="413"/>
      <c r="F108" s="414"/>
    </row>
    <row r="109" spans="1:6" ht="15" x14ac:dyDescent="0.25">
      <c r="A109" s="427" t="s">
        <v>1173</v>
      </c>
      <c r="B109" s="428"/>
      <c r="C109" s="428"/>
      <c r="D109" s="393" t="str">
        <f>IF('Formulário Cadastro'!$F$122&gt;0,'Formulário Cadastro'!$F$122,"  ")</f>
        <v xml:space="preserve">  </v>
      </c>
      <c r="E109" s="393"/>
      <c r="F109" s="394"/>
    </row>
    <row r="110" spans="1:6" ht="15" x14ac:dyDescent="0.25">
      <c r="A110" s="391" t="s">
        <v>1174</v>
      </c>
      <c r="B110" s="392"/>
      <c r="C110" s="392"/>
      <c r="D110" s="393" t="str">
        <f>IF('Formulário Cadastro'!$F$123&gt;0,'Formulário Cadastro'!$F$123,"  ")</f>
        <v xml:space="preserve">  </v>
      </c>
      <c r="E110" s="393"/>
      <c r="F110" s="394"/>
    </row>
    <row r="111" spans="1:6" ht="15" x14ac:dyDescent="0.25">
      <c r="A111" s="391" t="s">
        <v>1175</v>
      </c>
      <c r="B111" s="392"/>
      <c r="C111" s="392"/>
      <c r="D111" s="395" t="str">
        <f>IF('Formulário Cadastro'!$F$124&gt;0,'Formulário Cadastro'!$F$124,"  ")</f>
        <v xml:space="preserve">  </v>
      </c>
      <c r="E111" s="395"/>
      <c r="F111" s="396"/>
    </row>
    <row r="112" spans="1:6" thickBot="1" x14ac:dyDescent="0.3">
      <c r="A112" s="397" t="s">
        <v>1176</v>
      </c>
      <c r="B112" s="398"/>
      <c r="C112" s="398"/>
      <c r="D112" s="393" t="str">
        <f>IF('Formulário Cadastro'!$F$125&gt;0,'Formulário Cadastro'!$F$125,"  ")</f>
        <v xml:space="preserve">  </v>
      </c>
      <c r="E112" s="393"/>
      <c r="F112" s="394"/>
    </row>
    <row r="113" spans="1:6" ht="85.5" customHeight="1" x14ac:dyDescent="0.25">
      <c r="A113" s="399" t="s">
        <v>1399</v>
      </c>
      <c r="B113" s="400"/>
      <c r="C113" s="400"/>
      <c r="D113" s="400"/>
      <c r="E113" s="400"/>
      <c r="F113" s="401"/>
    </row>
    <row r="114" spans="1:6" ht="110.25" customHeight="1" thickBot="1" x14ac:dyDescent="0.3">
      <c r="A114" s="502" t="s">
        <v>1400</v>
      </c>
      <c r="B114" s="503"/>
      <c r="C114" s="503"/>
      <c r="D114" s="503"/>
      <c r="E114" s="503"/>
      <c r="F114" s="504"/>
    </row>
    <row r="115" spans="1:6" ht="34.5" customHeight="1" x14ac:dyDescent="0.25"/>
  </sheetData>
  <sheetProtection algorithmName="SHA-512" hashValue="V2oTWiLc1KjbLjS/2dPW9gApVb70zBvm+DXlHj4v3dqimeD7raZw6OlTUE02gHZggmq9FoU7BtASjPZls0VCnA==" saltValue="ATw6EAeCK3Y4MVM7WnIVrw==" spinCount="100000" sheet="1" objects="1" scenarios="1" selectLockedCells="1" selectUnlockedCells="1"/>
  <mergeCells count="197">
    <mergeCell ref="H2:O3"/>
    <mergeCell ref="A2:F5"/>
    <mergeCell ref="A6:F6"/>
    <mergeCell ref="A114:F114"/>
    <mergeCell ref="B29:C29"/>
    <mergeCell ref="D29:F29"/>
    <mergeCell ref="A30:F30"/>
    <mergeCell ref="A31:C31"/>
    <mergeCell ref="D31:F31"/>
    <mergeCell ref="A32:C32"/>
    <mergeCell ref="D32:F32"/>
    <mergeCell ref="A7:C7"/>
    <mergeCell ref="D7:F7"/>
    <mergeCell ref="A8:C8"/>
    <mergeCell ref="D8:F8"/>
    <mergeCell ref="A9:C9"/>
    <mergeCell ref="D9:F9"/>
    <mergeCell ref="A10:C10"/>
    <mergeCell ref="D10:F10"/>
    <mergeCell ref="A11:A16"/>
    <mergeCell ref="B11:C11"/>
    <mergeCell ref="D11:F11"/>
    <mergeCell ref="A33:A35"/>
    <mergeCell ref="B33:C33"/>
    <mergeCell ref="D33:F33"/>
    <mergeCell ref="B34:C34"/>
    <mergeCell ref="D34:F34"/>
    <mergeCell ref="B35:C35"/>
    <mergeCell ref="D35:F35"/>
    <mergeCell ref="A36:C36"/>
    <mergeCell ref="D36:F36"/>
    <mergeCell ref="A44:C44"/>
    <mergeCell ref="D44:F44"/>
    <mergeCell ref="A45:C45"/>
    <mergeCell ref="D45:F45"/>
    <mergeCell ref="A46:C46"/>
    <mergeCell ref="D46:F46"/>
    <mergeCell ref="A37:A38"/>
    <mergeCell ref="B37:C37"/>
    <mergeCell ref="D37:F37"/>
    <mergeCell ref="B38:C38"/>
    <mergeCell ref="D38:F38"/>
    <mergeCell ref="A39:A40"/>
    <mergeCell ref="B39:C39"/>
    <mergeCell ref="D39:F39"/>
    <mergeCell ref="B40:C40"/>
    <mergeCell ref="D40:F40"/>
    <mergeCell ref="A41:C41"/>
    <mergeCell ref="D41:F41"/>
    <mergeCell ref="A42:C42"/>
    <mergeCell ref="D42:F42"/>
    <mergeCell ref="A43:C43"/>
    <mergeCell ref="D43:F43"/>
    <mergeCell ref="A51:C51"/>
    <mergeCell ref="D51:F51"/>
    <mergeCell ref="A52:C52"/>
    <mergeCell ref="D52:F52"/>
    <mergeCell ref="A53:C53"/>
    <mergeCell ref="D53:F53"/>
    <mergeCell ref="A54:C54"/>
    <mergeCell ref="D54:F54"/>
    <mergeCell ref="A55:C55"/>
    <mergeCell ref="D55:F55"/>
    <mergeCell ref="A47:C47"/>
    <mergeCell ref="D47:F47"/>
    <mergeCell ref="A48:A49"/>
    <mergeCell ref="B48:C48"/>
    <mergeCell ref="D48:F48"/>
    <mergeCell ref="B49:C49"/>
    <mergeCell ref="D49:F49"/>
    <mergeCell ref="A50:C50"/>
    <mergeCell ref="D50:F50"/>
    <mergeCell ref="A72:C72"/>
    <mergeCell ref="D72:F72"/>
    <mergeCell ref="A73:C73"/>
    <mergeCell ref="D73:F73"/>
    <mergeCell ref="A61:C61"/>
    <mergeCell ref="D61:F61"/>
    <mergeCell ref="A62:C62"/>
    <mergeCell ref="D62:F62"/>
    <mergeCell ref="A63:C63"/>
    <mergeCell ref="D63:F63"/>
    <mergeCell ref="A64:F64"/>
    <mergeCell ref="A65:C65"/>
    <mergeCell ref="D65:F65"/>
    <mergeCell ref="A66:C66"/>
    <mergeCell ref="D66:F66"/>
    <mergeCell ref="A70:C70"/>
    <mergeCell ref="D70:F70"/>
    <mergeCell ref="A71:F71"/>
    <mergeCell ref="A74:C74"/>
    <mergeCell ref="D74:F74"/>
    <mergeCell ref="A75:C75"/>
    <mergeCell ref="D75:F75"/>
    <mergeCell ref="A76:C76"/>
    <mergeCell ref="D76:F76"/>
    <mergeCell ref="A77:C77"/>
    <mergeCell ref="D77:F77"/>
    <mergeCell ref="A78:C78"/>
    <mergeCell ref="D78:F78"/>
    <mergeCell ref="A94:C94"/>
    <mergeCell ref="D94:F94"/>
    <mergeCell ref="A95:F95"/>
    <mergeCell ref="A86:C86"/>
    <mergeCell ref="D86:F86"/>
    <mergeCell ref="A87:C87"/>
    <mergeCell ref="D87:F87"/>
    <mergeCell ref="A88:C88"/>
    <mergeCell ref="D88:F88"/>
    <mergeCell ref="A89:F89"/>
    <mergeCell ref="A90:C90"/>
    <mergeCell ref="D90:F90"/>
    <mergeCell ref="A91:C91"/>
    <mergeCell ref="D91:F91"/>
    <mergeCell ref="A92:C92"/>
    <mergeCell ref="A93:C93"/>
    <mergeCell ref="D92:F92"/>
    <mergeCell ref="D93:F93"/>
    <mergeCell ref="B12:C12"/>
    <mergeCell ref="D12:F12"/>
    <mergeCell ref="B13:C13"/>
    <mergeCell ref="D13:F13"/>
    <mergeCell ref="B14:C14"/>
    <mergeCell ref="D14:F14"/>
    <mergeCell ref="B15:C15"/>
    <mergeCell ref="D15:F15"/>
    <mergeCell ref="B16:C16"/>
    <mergeCell ref="D16:F16"/>
    <mergeCell ref="A17:F17"/>
    <mergeCell ref="A18:C18"/>
    <mergeCell ref="D18:F18"/>
    <mergeCell ref="A19:C19"/>
    <mergeCell ref="D19:F19"/>
    <mergeCell ref="A20:C20"/>
    <mergeCell ref="D20:F20"/>
    <mergeCell ref="A21:A29"/>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A57:C57"/>
    <mergeCell ref="D57:F57"/>
    <mergeCell ref="A67:C67"/>
    <mergeCell ref="D67:F67"/>
    <mergeCell ref="A68:C68"/>
    <mergeCell ref="D68:F68"/>
    <mergeCell ref="A69:C69"/>
    <mergeCell ref="D69:F69"/>
    <mergeCell ref="A56:F56"/>
    <mergeCell ref="A58:C58"/>
    <mergeCell ref="D58:F58"/>
    <mergeCell ref="A59:C59"/>
    <mergeCell ref="D59:F59"/>
    <mergeCell ref="A60:C60"/>
    <mergeCell ref="D60:F60"/>
    <mergeCell ref="D79:F79"/>
    <mergeCell ref="A80:C80"/>
    <mergeCell ref="D80:F80"/>
    <mergeCell ref="A81:C81"/>
    <mergeCell ref="D81:F81"/>
    <mergeCell ref="A83:F83"/>
    <mergeCell ref="A84:C84"/>
    <mergeCell ref="D84:F84"/>
    <mergeCell ref="A85:C85"/>
    <mergeCell ref="D85:F85"/>
    <mergeCell ref="A79:C79"/>
    <mergeCell ref="A82:F82"/>
    <mergeCell ref="A110:C110"/>
    <mergeCell ref="D110:F110"/>
    <mergeCell ref="A111:C111"/>
    <mergeCell ref="D111:F111"/>
    <mergeCell ref="A112:C112"/>
    <mergeCell ref="D112:F112"/>
    <mergeCell ref="A113:F113"/>
    <mergeCell ref="A96:F96"/>
    <mergeCell ref="A97:F97"/>
    <mergeCell ref="A98:E98"/>
    <mergeCell ref="A99:E99"/>
    <mergeCell ref="A100:E100"/>
    <mergeCell ref="A101:F101"/>
    <mergeCell ref="A102:F106"/>
    <mergeCell ref="A107:F107"/>
    <mergeCell ref="A108:F108"/>
    <mergeCell ref="A109:C109"/>
    <mergeCell ref="D109:F109"/>
  </mergeCells>
  <dataValidations count="7">
    <dataValidation operator="greaterThanOrEqual" allowBlank="1" showInputMessage="1" showErrorMessage="1" errorTitle="Orientação" error="_x000a_Só é permitido digitar os números da latitude sem o sinal negativo e ponto." promptTitle="Digite latitude- graus decimais" prompt="_x000a_Campo de preenchimento obrigatório." sqref="D34:F55 D57:F63 D92:F93"/>
    <dataValidation allowBlank="1" showInputMessage="1" showErrorMessage="1" promptTitle="Digite o nome do curso d'água" prompt="_x000a_Campo de preenchimento obrigatório." sqref="D31:F31"/>
    <dataValidation type="whole" operator="greaterThanOrEqual" allowBlank="1" showInputMessage="1" showErrorMessage="1" errorTitle="Orientação" error="Só é permitido digitar números do CPF sem os pontos e o traço." promptTitle="Digite números do CPF sem pontos" prompt="_x000a_Campo de preenchimento obrigatório, se pessoa física." sqref="D8:F8">
      <formula1>0</formula1>
    </dataValidation>
    <dataValidation operator="greaterThanOrEqual" allowBlank="1" showInputMessage="1" showErrorMessage="1" errorTitle="Orientação" error="Só é permitido digitar números do CEP sem o ponto e sem o traço." promptTitle="Digite somente números no campo." prompt="   " sqref="D13:F13"/>
    <dataValidation type="whole" operator="greaterThanOrEqual" allowBlank="1" showInputMessage="1" showErrorMessage="1" errorTitle="Orientação" error="Só é permitido digitar os números do telefone sem parênteses e sem o traço." promptTitle="Digite somente números no campo." prompt="_x000a_Campo de preenchimento obrigatório." sqref="D15:F15">
      <formula1>0</formula1>
    </dataValidation>
    <dataValidation allowBlank="1" showInputMessage="1" showErrorMessage="1" promptTitle="Digite o e-mail" prompt="_x000a_Campo de preenchimento obrigatório." sqref="D16:F16"/>
    <dataValidation type="whole" operator="greaterThan" allowBlank="1" showInputMessage="1" showErrorMessage="1" errorTitle="Orientação" error="Só é permitido digitar números do CNPJ sem os pontos, barra e traço." promptTitle="Digite números CNPJ sem pontos" prompt="_x000a_Campo de preenchimento obrigatório, se pessoa jurídica." sqref="D9:F9">
      <formula1>0</formula1>
    </dataValidation>
  </dataValidations>
  <printOptions horizontalCentered="1"/>
  <pageMargins left="0.78740157480314965" right="0.78740157480314965" top="0.78740157480314965" bottom="0.78740157480314965" header="0.31496062992125984" footer="0.31496062992125984"/>
  <pageSetup paperSize="9" scale="79" fitToHeight="0" orientation="portrait" blackAndWhite="1" r:id="rId1"/>
  <rowBreaks count="3" manualBreakCount="3">
    <brk id="55" max="16383" man="1"/>
    <brk id="82" max="5" man="1"/>
    <brk id="96" max="16383" man="1"/>
  </rowBreaks>
  <ignoredErrors>
    <ignoredError sqref="D7:D16 D18:D29 D31:D32 D34:D55 D57:D63 D65:D70 D72:D81 D84:D88 D90:D94 A96 D109:D11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ione domínio curso d'água" prompt="_x000a_Campo de preenchimento obrigatório.">
          <x14:formula1>
            <xm:f>Seleção!$F$2:$F$4</xm:f>
          </x14:formula1>
          <xm:sqref>D32:F32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C3:T28"/>
  <sheetViews>
    <sheetView workbookViewId="0"/>
  </sheetViews>
  <sheetFormatPr defaultColWidth="9.140625" defaultRowHeight="15" x14ac:dyDescent="0.25"/>
  <cols>
    <col min="1" max="8" width="9.140625" style="3"/>
    <col min="9" max="9" width="20.140625" style="3" customWidth="1"/>
    <col min="10" max="10" width="13.5703125" style="3" customWidth="1"/>
    <col min="11" max="16384" width="9.140625" style="3"/>
  </cols>
  <sheetData>
    <row r="3" spans="3:18" ht="21" x14ac:dyDescent="0.35">
      <c r="C3" s="4" t="s">
        <v>1205</v>
      </c>
      <c r="N3" s="4"/>
      <c r="O3" s="4"/>
      <c r="P3" s="4"/>
      <c r="Q3" s="4"/>
      <c r="R3" s="4"/>
    </row>
    <row r="7" spans="3:18" ht="21" x14ac:dyDescent="0.35">
      <c r="F7" s="4" t="s">
        <v>1230</v>
      </c>
    </row>
    <row r="8" spans="3:18" ht="21" x14ac:dyDescent="0.35">
      <c r="F8" s="4"/>
    </row>
    <row r="9" spans="3:18" ht="18.75" x14ac:dyDescent="0.3">
      <c r="D9" s="116" t="s">
        <v>1444</v>
      </c>
      <c r="E9" s="116"/>
      <c r="F9" s="117"/>
      <c r="G9" s="116"/>
      <c r="H9" s="116"/>
      <c r="I9" s="116"/>
      <c r="J9" s="521" t="s">
        <v>1443</v>
      </c>
      <c r="K9" s="521"/>
      <c r="L9" s="521"/>
      <c r="M9" s="521"/>
    </row>
    <row r="11" spans="3:18" ht="18.75" x14ac:dyDescent="0.3">
      <c r="D11" s="116" t="s">
        <v>1231</v>
      </c>
      <c r="E11" s="116"/>
      <c r="F11" s="116"/>
      <c r="G11" s="116"/>
      <c r="H11" s="116"/>
      <c r="I11" s="116"/>
      <c r="J11" s="116"/>
      <c r="K11" s="2"/>
    </row>
    <row r="12" spans="3:18" ht="18.75" x14ac:dyDescent="0.3">
      <c r="D12" s="116" t="s">
        <v>1232</v>
      </c>
      <c r="E12" s="116"/>
      <c r="F12" s="116"/>
      <c r="G12" s="116"/>
      <c r="H12" s="116"/>
      <c r="I12" s="116"/>
      <c r="J12" s="116"/>
      <c r="K12" s="2"/>
    </row>
    <row r="13" spans="3:18" ht="18.75" x14ac:dyDescent="0.3">
      <c r="D13" s="116" t="s">
        <v>1233</v>
      </c>
      <c r="E13" s="116"/>
      <c r="F13" s="116"/>
      <c r="G13" s="116"/>
      <c r="H13" s="116"/>
      <c r="I13" s="116"/>
      <c r="J13" s="116"/>
      <c r="K13" s="2"/>
    </row>
    <row r="16" spans="3:18" ht="18.75" x14ac:dyDescent="0.3">
      <c r="I16" s="116" t="s">
        <v>1445</v>
      </c>
      <c r="J16" s="116"/>
      <c r="K16" s="116"/>
      <c r="L16" s="116"/>
      <c r="M16" s="2"/>
    </row>
    <row r="24" spans="9:20" ht="35.25" customHeight="1" x14ac:dyDescent="0.25">
      <c r="O24" s="238" t="s">
        <v>1234</v>
      </c>
      <c r="P24" s="238"/>
      <c r="Q24" s="238"/>
      <c r="R24" s="238"/>
      <c r="S24" s="238"/>
      <c r="T24" s="5"/>
    </row>
    <row r="26" spans="9:20" ht="14.25" customHeight="1" x14ac:dyDescent="0.3">
      <c r="I26" s="116" t="s">
        <v>1446</v>
      </c>
    </row>
    <row r="28" spans="9:20" ht="78.75" customHeight="1" x14ac:dyDescent="0.25">
      <c r="O28" s="520" t="s">
        <v>1434</v>
      </c>
      <c r="P28" s="520"/>
      <c r="Q28" s="520"/>
      <c r="R28" s="520"/>
      <c r="S28" s="520"/>
    </row>
  </sheetData>
  <sheetProtection algorithmName="SHA-512" hashValue="c1EKtDV/7r242AWv/OIHnu5u/DIQGIn+LWaosxlVWiwRMAGVtQLQpINWon1yFYadBdaUNJH9yZvZX94bBpFekg==" saltValue="BpVNnFcp05odjIrUG8Cv4Q==" spinCount="100000" sheet="1" objects="1" scenarios="1" selectLockedCells="1" selectUnlockedCells="1"/>
  <mergeCells count="3">
    <mergeCell ref="O24:S24"/>
    <mergeCell ref="O28:S28"/>
    <mergeCell ref="J9:M9"/>
  </mergeCells>
  <hyperlinks>
    <hyperlink ref="J9" r:id="rId1"/>
  </hyperlinks>
  <pageMargins left="0.511811024" right="0.511811024" top="0.78740157499999996" bottom="0.78740157499999996" header="0.31496062000000002" footer="0.31496062000000002"/>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C4:Z166"/>
  <sheetViews>
    <sheetView topLeftCell="C1" zoomScaleNormal="100" workbookViewId="0"/>
  </sheetViews>
  <sheetFormatPr defaultColWidth="9.140625" defaultRowHeight="15" x14ac:dyDescent="0.25"/>
  <cols>
    <col min="1" max="2" width="0" style="3" hidden="1" customWidth="1"/>
    <col min="3" max="8" width="9.140625" style="3"/>
    <col min="9" max="9" width="11.28515625" style="3" customWidth="1"/>
    <col min="10" max="16384" width="9.140625" style="3"/>
  </cols>
  <sheetData>
    <row r="4" spans="4:15" ht="21" x14ac:dyDescent="0.35">
      <c r="D4" s="4" t="s">
        <v>1205</v>
      </c>
    </row>
    <row r="8" spans="4:15" ht="18.75" x14ac:dyDescent="0.3">
      <c r="D8" s="116" t="s">
        <v>1440</v>
      </c>
      <c r="E8" s="116"/>
      <c r="F8" s="116"/>
      <c r="G8" s="116"/>
      <c r="H8" s="116"/>
      <c r="I8" s="116"/>
      <c r="J8" s="521" t="s">
        <v>1441</v>
      </c>
      <c r="K8" s="521"/>
      <c r="L8" s="521"/>
      <c r="M8" s="521"/>
      <c r="N8" s="521"/>
      <c r="O8" s="521"/>
    </row>
    <row r="10" spans="4:15" ht="15.75" x14ac:dyDescent="0.25">
      <c r="D10" s="6" t="s">
        <v>1237</v>
      </c>
    </row>
    <row r="11" spans="4:15" ht="15.75" x14ac:dyDescent="0.25">
      <c r="E11" s="2" t="s">
        <v>1245</v>
      </c>
    </row>
    <row r="46" spans="3:20" ht="18.75" x14ac:dyDescent="0.3">
      <c r="C46" s="116"/>
      <c r="D46" s="117" t="s">
        <v>1237</v>
      </c>
      <c r="E46" s="116"/>
      <c r="F46" s="116"/>
      <c r="G46" s="116"/>
      <c r="H46" s="116"/>
      <c r="I46" s="116"/>
      <c r="J46" s="116"/>
      <c r="K46" s="116"/>
      <c r="L46" s="116"/>
      <c r="M46" s="116"/>
      <c r="N46" s="116"/>
      <c r="O46" s="116"/>
      <c r="P46" s="116"/>
      <c r="Q46" s="116"/>
      <c r="R46" s="116"/>
      <c r="S46" s="116"/>
      <c r="T46" s="116"/>
    </row>
    <row r="47" spans="3:20" ht="18.75" x14ac:dyDescent="0.3">
      <c r="C47" s="116"/>
      <c r="D47" s="117"/>
      <c r="E47" s="116"/>
      <c r="F47" s="116"/>
      <c r="G47" s="116"/>
      <c r="H47" s="116"/>
      <c r="I47" s="116"/>
      <c r="J47" s="116"/>
      <c r="K47" s="116"/>
      <c r="L47" s="116"/>
      <c r="M47" s="116"/>
      <c r="N47" s="116"/>
      <c r="O47" s="116"/>
      <c r="P47" s="116"/>
      <c r="Q47" s="116"/>
      <c r="R47" s="116"/>
      <c r="S47" s="116"/>
      <c r="T47" s="116"/>
    </row>
    <row r="48" spans="3:20" ht="18.75" x14ac:dyDescent="0.3">
      <c r="C48" s="116"/>
      <c r="D48" s="116"/>
      <c r="E48" s="116" t="s">
        <v>1238</v>
      </c>
      <c r="F48" s="116"/>
      <c r="G48" s="116"/>
      <c r="H48" s="116"/>
      <c r="I48" s="116"/>
      <c r="J48" s="116"/>
      <c r="K48" s="116"/>
      <c r="L48" s="116"/>
      <c r="M48" s="116"/>
      <c r="N48" s="116"/>
      <c r="O48" s="116"/>
      <c r="P48" s="116"/>
      <c r="Q48" s="116"/>
      <c r="R48" s="116"/>
      <c r="S48" s="116"/>
      <c r="T48" s="116"/>
    </row>
    <row r="49" spans="3:20" ht="18.75" x14ac:dyDescent="0.3">
      <c r="C49" s="116"/>
      <c r="D49" s="116"/>
      <c r="E49" s="116"/>
      <c r="F49" s="116"/>
      <c r="G49" s="116"/>
      <c r="H49" s="116"/>
      <c r="I49" s="116"/>
      <c r="J49" s="116"/>
      <c r="K49" s="116"/>
      <c r="L49" s="116"/>
      <c r="M49" s="116"/>
      <c r="N49" s="116"/>
      <c r="O49" s="116"/>
      <c r="P49" s="116"/>
      <c r="Q49" s="116"/>
      <c r="R49" s="116"/>
      <c r="S49" s="116"/>
      <c r="T49" s="116"/>
    </row>
    <row r="50" spans="3:20" ht="18.75" x14ac:dyDescent="0.3">
      <c r="C50" s="116"/>
      <c r="D50" s="116"/>
      <c r="E50" s="116" t="s">
        <v>1239</v>
      </c>
      <c r="F50" s="116"/>
      <c r="G50" s="116"/>
      <c r="H50" s="116"/>
      <c r="I50" s="116"/>
      <c r="J50" s="116"/>
      <c r="K50" s="116"/>
      <c r="M50" s="116" t="s">
        <v>1236</v>
      </c>
      <c r="O50" s="116"/>
      <c r="P50" s="116"/>
      <c r="Q50" s="116"/>
      <c r="R50" s="116"/>
      <c r="S50" s="116"/>
      <c r="T50" s="116"/>
    </row>
    <row r="51" spans="3:20" ht="18.75" x14ac:dyDescent="0.3">
      <c r="C51" s="116"/>
      <c r="D51" s="116"/>
      <c r="E51" s="116"/>
      <c r="F51" s="116"/>
      <c r="G51" s="116"/>
      <c r="H51" s="116"/>
      <c r="I51" s="116"/>
      <c r="J51" s="116"/>
      <c r="K51" s="116"/>
      <c r="L51" s="116"/>
      <c r="M51" s="116"/>
      <c r="N51" s="116"/>
      <c r="O51" s="116"/>
      <c r="P51" s="116"/>
      <c r="Q51" s="116"/>
      <c r="R51" s="116"/>
      <c r="S51" s="116"/>
      <c r="T51" s="116"/>
    </row>
    <row r="52" spans="3:20" ht="18.75" x14ac:dyDescent="0.3">
      <c r="C52" s="116"/>
      <c r="D52" s="116"/>
      <c r="E52" s="116" t="s">
        <v>1240</v>
      </c>
      <c r="F52" s="116"/>
      <c r="G52" s="116"/>
      <c r="H52" s="116"/>
      <c r="J52" s="116" t="s">
        <v>1242</v>
      </c>
      <c r="K52" s="116"/>
      <c r="L52" s="116"/>
      <c r="M52" s="116"/>
      <c r="N52" s="116"/>
      <c r="O52" s="116"/>
      <c r="P52" s="116"/>
      <c r="Q52" s="116"/>
      <c r="R52" s="116"/>
      <c r="S52" s="116"/>
      <c r="T52" s="116"/>
    </row>
    <row r="88" spans="4:10" ht="18.75" x14ac:dyDescent="0.3">
      <c r="D88" s="117" t="s">
        <v>1237</v>
      </c>
      <c r="E88" s="116"/>
      <c r="F88" s="116"/>
      <c r="G88" s="116"/>
      <c r="H88" s="116"/>
      <c r="I88" s="116"/>
      <c r="J88" s="116"/>
    </row>
    <row r="89" spans="4:10" ht="18.75" x14ac:dyDescent="0.3">
      <c r="D89" s="116"/>
      <c r="E89" s="116"/>
      <c r="F89" s="116"/>
      <c r="G89" s="116"/>
      <c r="H89" s="116"/>
      <c r="I89" s="116"/>
      <c r="J89" s="116"/>
    </row>
    <row r="90" spans="4:10" ht="18.75" x14ac:dyDescent="0.3">
      <c r="D90" s="116"/>
      <c r="E90" s="116" t="s">
        <v>1241</v>
      </c>
      <c r="F90" s="116"/>
      <c r="G90" s="116"/>
      <c r="H90" s="116"/>
      <c r="I90" s="116"/>
      <c r="J90" s="116"/>
    </row>
    <row r="91" spans="4:10" ht="18.75" x14ac:dyDescent="0.3">
      <c r="D91" s="116"/>
      <c r="E91" s="116"/>
      <c r="F91" s="116"/>
      <c r="G91" s="116"/>
      <c r="H91" s="116"/>
      <c r="I91" s="116"/>
      <c r="J91" s="116"/>
    </row>
    <row r="92" spans="4:10" ht="18.75" x14ac:dyDescent="0.3">
      <c r="D92" s="116"/>
      <c r="E92" s="116" t="s">
        <v>1243</v>
      </c>
      <c r="F92" s="116"/>
      <c r="G92" s="116"/>
      <c r="H92" s="116"/>
      <c r="I92" s="116"/>
      <c r="J92" s="116"/>
    </row>
    <row r="127" spans="4:11" ht="18.75" x14ac:dyDescent="0.3">
      <c r="D127" s="6"/>
      <c r="E127" s="116" t="s">
        <v>1244</v>
      </c>
      <c r="F127" s="116"/>
      <c r="G127" s="116"/>
      <c r="H127" s="116"/>
      <c r="I127" s="116"/>
      <c r="J127" s="116"/>
      <c r="K127" s="116"/>
    </row>
    <row r="162" spans="5:26" ht="18.75" x14ac:dyDescent="0.3">
      <c r="E162" s="118" t="s">
        <v>1442</v>
      </c>
      <c r="F162"/>
      <c r="G162"/>
      <c r="H162"/>
      <c r="I162"/>
      <c r="J162"/>
      <c r="K162"/>
      <c r="L162"/>
      <c r="M162"/>
      <c r="N162"/>
      <c r="O162"/>
      <c r="P162"/>
      <c r="Q162"/>
      <c r="R162"/>
      <c r="S162"/>
      <c r="T162"/>
      <c r="U162"/>
      <c r="V162"/>
      <c r="W162"/>
      <c r="X162"/>
      <c r="Y162"/>
      <c r="Z162"/>
    </row>
    <row r="166" spans="5:26" x14ac:dyDescent="0.25">
      <c r="E166"/>
    </row>
  </sheetData>
  <sheetProtection algorithmName="SHA-512" hashValue="PY+HpcvQA7FTVWwkTG8EH4o5XzSJNwXpl8qJGYz+EFSeQs5xaRKvp1EhbvYMmwkkj1ZMMvlVAOjM1vNI5uJNzQ==" saltValue="D2iphcRdb+GuvcPpiQxS0w==" spinCount="100000" sheet="1" objects="1" scenarios="1" selectLockedCells="1" selectUnlockedCells="1"/>
  <mergeCells count="1">
    <mergeCell ref="J8:O8"/>
  </mergeCells>
  <hyperlinks>
    <hyperlink ref="J8" r:id="rId1"/>
  </hyperlinks>
  <pageMargins left="0.511811024" right="0.511811024" top="0.78740157499999996" bottom="0.78740157499999996" header="0.31496062000000002" footer="0.31496062000000002"/>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G180"/>
  <sheetViews>
    <sheetView workbookViewId="0">
      <selection activeCell="B41" sqref="B41:D41"/>
    </sheetView>
  </sheetViews>
  <sheetFormatPr defaultRowHeight="15" x14ac:dyDescent="0.25"/>
  <cols>
    <col min="1" max="1" width="9.42578125" customWidth="1"/>
    <col min="2" max="2" width="76.140625" customWidth="1"/>
    <col min="3" max="3" width="26.42578125" customWidth="1"/>
    <col min="4" max="4" width="19.140625" customWidth="1"/>
    <col min="5" max="5" width="17.7109375" customWidth="1"/>
    <col min="6" max="6" width="55.85546875" customWidth="1"/>
  </cols>
  <sheetData>
    <row r="1" spans="1:4" ht="15.75" thickBot="1" x14ac:dyDescent="0.3">
      <c r="A1" s="551" t="s">
        <v>1304</v>
      </c>
      <c r="B1" s="551"/>
      <c r="C1" s="12" t="s">
        <v>1289</v>
      </c>
      <c r="D1" s="12" t="s">
        <v>1293</v>
      </c>
    </row>
    <row r="2" spans="1:4" ht="15" customHeight="1" thickBot="1" x14ac:dyDescent="0.3">
      <c r="A2" s="552" t="s">
        <v>1302</v>
      </c>
      <c r="B2" s="16" t="s">
        <v>1290</v>
      </c>
      <c r="C2" s="19"/>
      <c r="D2" s="20"/>
    </row>
    <row r="3" spans="1:4" x14ac:dyDescent="0.25">
      <c r="A3" s="553"/>
      <c r="B3" s="15" t="s">
        <v>1296</v>
      </c>
      <c r="C3" s="17">
        <v>0</v>
      </c>
      <c r="D3" s="18"/>
    </row>
    <row r="4" spans="1:4" x14ac:dyDescent="0.25">
      <c r="A4" s="553"/>
      <c r="B4" s="10" t="s">
        <v>1291</v>
      </c>
      <c r="C4" s="7">
        <v>1</v>
      </c>
      <c r="D4" s="8"/>
    </row>
    <row r="5" spans="1:4" x14ac:dyDescent="0.25">
      <c r="A5" s="553"/>
      <c r="B5" s="10" t="s">
        <v>1294</v>
      </c>
      <c r="C5" s="7">
        <v>2</v>
      </c>
      <c r="D5" s="8"/>
    </row>
    <row r="6" spans="1:4" ht="15.75" thickBot="1" x14ac:dyDescent="0.3">
      <c r="A6" s="553"/>
      <c r="B6" s="21" t="s">
        <v>1292</v>
      </c>
      <c r="C6" s="22">
        <v>3</v>
      </c>
      <c r="D6" s="23">
        <f>VLOOKUP('Formulário Cadastro'!$O$68,Classificação!$B$3:$C$6,2,FALSE)</f>
        <v>0</v>
      </c>
    </row>
    <row r="7" spans="1:4" ht="15.75" thickBot="1" x14ac:dyDescent="0.3">
      <c r="A7" s="553"/>
      <c r="B7" s="548" t="s">
        <v>1295</v>
      </c>
      <c r="C7" s="549"/>
      <c r="D7" s="550"/>
    </row>
    <row r="8" spans="1:4" x14ac:dyDescent="0.25">
      <c r="A8" s="553"/>
      <c r="B8" s="15" t="s">
        <v>1298</v>
      </c>
      <c r="C8" s="17">
        <v>2</v>
      </c>
      <c r="D8" s="18"/>
    </row>
    <row r="9" spans="1:4" ht="15.75" thickBot="1" x14ac:dyDescent="0.3">
      <c r="A9" s="553"/>
      <c r="B9" s="21" t="s">
        <v>1297</v>
      </c>
      <c r="C9" s="22">
        <v>3</v>
      </c>
      <c r="D9" s="23">
        <f>VLOOKUP('Formulário Cadastro'!$O$70,Classificação!$B$8:$C$9,2,FALSE)</f>
        <v>2</v>
      </c>
    </row>
    <row r="10" spans="1:4" ht="15.75" thickBot="1" x14ac:dyDescent="0.3">
      <c r="A10" s="553"/>
      <c r="B10" s="558" t="s">
        <v>997</v>
      </c>
      <c r="C10" s="559"/>
      <c r="D10" s="560"/>
    </row>
    <row r="11" spans="1:4" x14ac:dyDescent="0.25">
      <c r="A11" s="553"/>
      <c r="B11" s="24" t="s">
        <v>37</v>
      </c>
      <c r="C11" s="17">
        <v>2</v>
      </c>
      <c r="D11" s="18"/>
    </row>
    <row r="12" spans="1:4" x14ac:dyDescent="0.25">
      <c r="A12" s="553"/>
      <c r="B12" s="11" t="s">
        <v>38</v>
      </c>
      <c r="C12" s="7">
        <v>2</v>
      </c>
      <c r="D12" s="8"/>
    </row>
    <row r="13" spans="1:4" x14ac:dyDescent="0.25">
      <c r="A13" s="553"/>
      <c r="B13" s="11" t="s">
        <v>996</v>
      </c>
      <c r="C13" s="7">
        <v>2</v>
      </c>
      <c r="D13" s="8"/>
    </row>
    <row r="14" spans="1:4" x14ac:dyDescent="0.25">
      <c r="A14" s="553"/>
      <c r="B14" s="11" t="s">
        <v>36</v>
      </c>
      <c r="C14" s="7">
        <v>1</v>
      </c>
      <c r="D14" s="8"/>
    </row>
    <row r="15" spans="1:4" x14ac:dyDescent="0.25">
      <c r="A15" s="553"/>
      <c r="B15" s="11" t="s">
        <v>40</v>
      </c>
      <c r="C15" s="7">
        <v>3</v>
      </c>
      <c r="D15" s="8"/>
    </row>
    <row r="16" spans="1:4" x14ac:dyDescent="0.25">
      <c r="A16" s="553"/>
      <c r="B16" s="11" t="s">
        <v>41</v>
      </c>
      <c r="C16" s="7">
        <v>3</v>
      </c>
      <c r="D16" s="8"/>
    </row>
    <row r="17" spans="1:4" x14ac:dyDescent="0.25">
      <c r="A17" s="554"/>
      <c r="B17" s="32" t="s">
        <v>1337</v>
      </c>
      <c r="C17" s="7">
        <v>3</v>
      </c>
      <c r="D17" s="23"/>
    </row>
    <row r="18" spans="1:4" x14ac:dyDescent="0.25">
      <c r="A18" s="554"/>
      <c r="B18" s="32" t="s">
        <v>1338</v>
      </c>
      <c r="C18" s="7">
        <v>3</v>
      </c>
      <c r="D18" s="23"/>
    </row>
    <row r="19" spans="1:4" x14ac:dyDescent="0.25">
      <c r="A19" s="554"/>
      <c r="B19" s="32" t="s">
        <v>39</v>
      </c>
      <c r="C19" s="7">
        <v>3</v>
      </c>
      <c r="D19" s="23"/>
    </row>
    <row r="20" spans="1:4" x14ac:dyDescent="0.25">
      <c r="A20" s="554"/>
      <c r="B20" s="32" t="s">
        <v>992</v>
      </c>
      <c r="C20" s="7">
        <v>3</v>
      </c>
      <c r="D20" s="23"/>
    </row>
    <row r="21" spans="1:4" ht="15.75" thickBot="1" x14ac:dyDescent="0.3">
      <c r="A21" s="553"/>
      <c r="B21" s="25" t="s">
        <v>1039</v>
      </c>
      <c r="C21" s="22">
        <v>3</v>
      </c>
      <c r="D21" s="23" t="e">
        <f>VLOOKUP('Formulário Cadastro'!$O$74,Classificação!$B$11:$C$21,2,FALSE)</f>
        <v>#N/A</v>
      </c>
    </row>
    <row r="22" spans="1:4" ht="15.75" thickBot="1" x14ac:dyDescent="0.3">
      <c r="A22" s="553"/>
      <c r="B22" s="548" t="s">
        <v>998</v>
      </c>
      <c r="C22" s="549"/>
      <c r="D22" s="550"/>
    </row>
    <row r="23" spans="1:4" x14ac:dyDescent="0.25">
      <c r="A23" s="553"/>
      <c r="B23" s="119" t="s">
        <v>50</v>
      </c>
      <c r="C23" s="17">
        <v>5</v>
      </c>
      <c r="D23" s="17"/>
    </row>
    <row r="24" spans="1:4" x14ac:dyDescent="0.25">
      <c r="A24" s="553"/>
      <c r="B24" s="120" t="s">
        <v>43</v>
      </c>
      <c r="C24" s="7">
        <v>2</v>
      </c>
      <c r="D24" s="7"/>
    </row>
    <row r="25" spans="1:4" x14ac:dyDescent="0.25">
      <c r="A25" s="553"/>
      <c r="B25" s="120" t="s">
        <v>45</v>
      </c>
      <c r="C25" s="7">
        <v>3</v>
      </c>
      <c r="D25" s="7"/>
    </row>
    <row r="26" spans="1:4" x14ac:dyDescent="0.25">
      <c r="A26" s="553"/>
      <c r="B26" s="120" t="s">
        <v>46</v>
      </c>
      <c r="C26" s="7">
        <v>4</v>
      </c>
      <c r="D26" s="7"/>
    </row>
    <row r="27" spans="1:4" x14ac:dyDescent="0.25">
      <c r="A27" s="553"/>
      <c r="B27" s="120" t="s">
        <v>44</v>
      </c>
      <c r="C27" s="7">
        <v>3</v>
      </c>
      <c r="D27" s="7"/>
    </row>
    <row r="28" spans="1:4" x14ac:dyDescent="0.25">
      <c r="A28" s="553"/>
      <c r="B28" s="120" t="s">
        <v>42</v>
      </c>
      <c r="C28" s="7">
        <v>1</v>
      </c>
      <c r="D28" s="7"/>
    </row>
    <row r="29" spans="1:4" x14ac:dyDescent="0.25">
      <c r="A29" s="553"/>
      <c r="B29" s="120" t="s">
        <v>47</v>
      </c>
      <c r="C29" s="7">
        <v>4</v>
      </c>
      <c r="D29" s="7"/>
    </row>
    <row r="30" spans="1:4" x14ac:dyDescent="0.25">
      <c r="A30" s="553"/>
      <c r="B30" s="120" t="s">
        <v>48</v>
      </c>
      <c r="C30" s="7">
        <v>4</v>
      </c>
      <c r="D30" s="7"/>
    </row>
    <row r="31" spans="1:4" x14ac:dyDescent="0.25">
      <c r="A31" s="554"/>
      <c r="B31" s="121" t="s">
        <v>49</v>
      </c>
      <c r="C31" s="7">
        <v>5</v>
      </c>
      <c r="D31" s="7"/>
    </row>
    <row r="32" spans="1:4" x14ac:dyDescent="0.25">
      <c r="A32" s="554"/>
      <c r="B32" s="121" t="s">
        <v>992</v>
      </c>
      <c r="C32" s="7">
        <v>5</v>
      </c>
      <c r="D32" s="7"/>
    </row>
    <row r="33" spans="1:4" ht="15.75" thickBot="1" x14ac:dyDescent="0.3">
      <c r="A33" s="554"/>
      <c r="B33" s="122" t="s">
        <v>1039</v>
      </c>
      <c r="C33" s="22">
        <v>5</v>
      </c>
      <c r="D33" s="22" t="e">
        <f>VLOOKUP('Formulário Cadastro'!$O$76,Classificação!$B$23:$C$33,2,FALSE)</f>
        <v>#N/A</v>
      </c>
    </row>
    <row r="34" spans="1:4" ht="15.75" thickBot="1" x14ac:dyDescent="0.3">
      <c r="A34" s="553"/>
      <c r="B34" s="548" t="s">
        <v>1007</v>
      </c>
      <c r="C34" s="549"/>
      <c r="D34" s="550"/>
    </row>
    <row r="35" spans="1:4" x14ac:dyDescent="0.25">
      <c r="A35" s="553"/>
      <c r="B35" s="24" t="s">
        <v>1039</v>
      </c>
      <c r="C35" s="17">
        <v>4</v>
      </c>
      <c r="D35" s="18"/>
    </row>
    <row r="36" spans="1:4" x14ac:dyDescent="0.25">
      <c r="A36" s="553"/>
      <c r="B36" s="11" t="s">
        <v>1467</v>
      </c>
      <c r="C36" s="7">
        <v>4</v>
      </c>
      <c r="D36" s="8"/>
    </row>
    <row r="37" spans="1:4" x14ac:dyDescent="0.25">
      <c r="A37" s="553"/>
      <c r="B37" s="11" t="s">
        <v>1347</v>
      </c>
      <c r="C37" s="7">
        <v>3</v>
      </c>
      <c r="D37" s="8"/>
    </row>
    <row r="38" spans="1:4" x14ac:dyDescent="0.25">
      <c r="A38" s="553"/>
      <c r="B38" s="11" t="s">
        <v>1468</v>
      </c>
      <c r="C38" s="7">
        <v>2</v>
      </c>
      <c r="D38" s="8"/>
    </row>
    <row r="39" spans="1:4" x14ac:dyDescent="0.25">
      <c r="A39" s="553"/>
      <c r="B39" s="11" t="s">
        <v>999</v>
      </c>
      <c r="C39" s="7">
        <v>1</v>
      </c>
      <c r="D39" s="8"/>
    </row>
    <row r="40" spans="1:4" ht="15.75" thickBot="1" x14ac:dyDescent="0.3">
      <c r="A40" s="553"/>
      <c r="B40" s="25" t="s">
        <v>1461</v>
      </c>
      <c r="C40" s="22">
        <v>4</v>
      </c>
      <c r="D40" s="23" t="e">
        <f>VLOOKUP('Formulário Cadastro'!$F$77,Classificação!$B$35:$C$40,2,FALSE)</f>
        <v>#N/A</v>
      </c>
    </row>
    <row r="41" spans="1:4" x14ac:dyDescent="0.25">
      <c r="A41" s="553"/>
      <c r="B41" s="561" t="s">
        <v>1000</v>
      </c>
      <c r="C41" s="562"/>
      <c r="D41" s="563"/>
    </row>
    <row r="42" spans="1:4" x14ac:dyDescent="0.25">
      <c r="A42" s="554"/>
      <c r="B42" s="32" t="s">
        <v>1299</v>
      </c>
      <c r="C42" s="7">
        <v>3</v>
      </c>
      <c r="D42" s="7"/>
    </row>
    <row r="43" spans="1:4" x14ac:dyDescent="0.25">
      <c r="A43" s="554"/>
      <c r="B43" s="32" t="s">
        <v>1064</v>
      </c>
      <c r="C43" s="7">
        <v>5</v>
      </c>
      <c r="D43" s="7"/>
    </row>
    <row r="44" spans="1:4" x14ac:dyDescent="0.25">
      <c r="A44" s="554"/>
      <c r="B44" s="32" t="s">
        <v>1066</v>
      </c>
      <c r="C44" s="7">
        <v>5</v>
      </c>
      <c r="D44" s="7"/>
    </row>
    <row r="45" spans="1:4" x14ac:dyDescent="0.25">
      <c r="A45" s="554"/>
      <c r="B45" s="32" t="s">
        <v>1345</v>
      </c>
      <c r="C45" s="7">
        <v>8</v>
      </c>
      <c r="D45" s="7"/>
    </row>
    <row r="46" spans="1:4" x14ac:dyDescent="0.25">
      <c r="A46" s="554"/>
      <c r="B46" s="32" t="s">
        <v>1316</v>
      </c>
      <c r="C46" s="7">
        <v>10</v>
      </c>
      <c r="D46" s="7"/>
    </row>
    <row r="47" spans="1:4" x14ac:dyDescent="0.25">
      <c r="A47" s="554"/>
      <c r="B47" s="32" t="s">
        <v>1317</v>
      </c>
      <c r="C47" s="7">
        <v>10</v>
      </c>
      <c r="D47" s="7"/>
    </row>
    <row r="48" spans="1:4" x14ac:dyDescent="0.25">
      <c r="A48" s="554"/>
      <c r="B48" s="32" t="s">
        <v>1318</v>
      </c>
      <c r="C48" s="7">
        <v>10</v>
      </c>
      <c r="D48" s="7"/>
    </row>
    <row r="49" spans="1:7" x14ac:dyDescent="0.25">
      <c r="A49" s="554"/>
      <c r="B49" s="32" t="s">
        <v>1319</v>
      </c>
      <c r="C49" s="7">
        <v>10</v>
      </c>
      <c r="D49" s="7"/>
    </row>
    <row r="50" spans="1:7" x14ac:dyDescent="0.25">
      <c r="A50" s="554"/>
      <c r="B50" s="32" t="s">
        <v>1320</v>
      </c>
      <c r="C50" s="7">
        <v>10</v>
      </c>
      <c r="D50" s="7"/>
    </row>
    <row r="51" spans="1:7" x14ac:dyDescent="0.25">
      <c r="A51" s="554"/>
      <c r="B51" s="32" t="s">
        <v>1065</v>
      </c>
      <c r="C51" s="7">
        <v>10</v>
      </c>
      <c r="D51" s="7" t="e">
        <f>VLOOKUP('Formulário Cadastro'!$O$65,$B$42:$C$51,2,FALSE)</f>
        <v>#N/A</v>
      </c>
    </row>
    <row r="52" spans="1:7" ht="15.75" thickBot="1" x14ac:dyDescent="0.3">
      <c r="A52" s="555"/>
      <c r="B52" s="556" t="s">
        <v>1303</v>
      </c>
      <c r="C52" s="557"/>
      <c r="D52" s="33" t="e">
        <f>$D$6+$D$9+$D$21+$D$33+$D$40+$D$51</f>
        <v>#N/A</v>
      </c>
    </row>
    <row r="53" spans="1:7" ht="15" customHeight="1" thickBot="1" x14ac:dyDescent="0.3">
      <c r="A53" s="564" t="s">
        <v>1305</v>
      </c>
      <c r="B53" s="545" t="s">
        <v>1003</v>
      </c>
      <c r="C53" s="546"/>
      <c r="D53" s="547"/>
    </row>
    <row r="54" spans="1:7" ht="45" x14ac:dyDescent="0.25">
      <c r="A54" s="565"/>
      <c r="B54" s="127" t="s">
        <v>1436</v>
      </c>
      <c r="C54" s="128">
        <v>0</v>
      </c>
      <c r="D54" s="129"/>
      <c r="F54" s="126"/>
      <c r="G54" s="17"/>
    </row>
    <row r="55" spans="1:7" ht="60" x14ac:dyDescent="0.25">
      <c r="A55" s="565"/>
      <c r="B55" s="130" t="s">
        <v>1002</v>
      </c>
      <c r="C55" s="7">
        <v>4</v>
      </c>
      <c r="D55" s="8"/>
      <c r="F55" s="126"/>
      <c r="G55" s="7"/>
    </row>
    <row r="56" spans="1:7" ht="75" x14ac:dyDescent="0.25">
      <c r="A56" s="565"/>
      <c r="B56" s="131" t="s">
        <v>1449</v>
      </c>
      <c r="C56" s="7">
        <v>7</v>
      </c>
      <c r="D56" s="8"/>
      <c r="F56" s="126"/>
      <c r="G56" s="7"/>
    </row>
    <row r="57" spans="1:7" ht="60" x14ac:dyDescent="0.25">
      <c r="A57" s="565"/>
      <c r="B57" s="130" t="s">
        <v>1450</v>
      </c>
      <c r="C57" s="7">
        <v>10</v>
      </c>
      <c r="D57" s="8"/>
      <c r="F57" s="126"/>
      <c r="G57" s="7"/>
    </row>
    <row r="58" spans="1:7" ht="15.75" thickBot="1" x14ac:dyDescent="0.3">
      <c r="A58" s="565"/>
      <c r="B58" s="132" t="s">
        <v>1004</v>
      </c>
      <c r="C58" s="63">
        <v>0</v>
      </c>
      <c r="D58" s="133" t="e">
        <f t="array" ref="D58">INDEX($C$54:$C$58,MATCH(TRUE,$B$54:$B$58='Formulário Cadastro'!$O$79,0),0)</f>
        <v>#N/A</v>
      </c>
      <c r="F58" s="126"/>
      <c r="G58" s="22"/>
    </row>
    <row r="59" spans="1:7" ht="15.75" thickBot="1" x14ac:dyDescent="0.3">
      <c r="A59" s="565"/>
      <c r="B59" s="545" t="s">
        <v>1005</v>
      </c>
      <c r="C59" s="546"/>
      <c r="D59" s="547"/>
    </row>
    <row r="60" spans="1:7" ht="30" x14ac:dyDescent="0.25">
      <c r="A60" s="565"/>
      <c r="B60" s="24" t="s">
        <v>1008</v>
      </c>
      <c r="C60" s="17">
        <v>0</v>
      </c>
      <c r="D60" s="18"/>
      <c r="F60" s="126"/>
      <c r="G60" s="34"/>
    </row>
    <row r="61" spans="1:7" ht="45" x14ac:dyDescent="0.25">
      <c r="A61" s="565"/>
      <c r="B61" s="11" t="s">
        <v>1009</v>
      </c>
      <c r="C61" s="7">
        <v>4</v>
      </c>
      <c r="D61" s="8"/>
    </row>
    <row r="62" spans="1:7" ht="45" x14ac:dyDescent="0.25">
      <c r="A62" s="565"/>
      <c r="B62" s="11" t="s">
        <v>1010</v>
      </c>
      <c r="C62" s="7">
        <v>6</v>
      </c>
      <c r="D62" s="8"/>
    </row>
    <row r="63" spans="1:7" ht="15.75" thickBot="1" x14ac:dyDescent="0.3">
      <c r="A63" s="565"/>
      <c r="B63" s="25" t="s">
        <v>1336</v>
      </c>
      <c r="C63" s="22">
        <v>0</v>
      </c>
      <c r="D63" s="23" t="e">
        <f>VLOOKUP('Formulário Cadastro'!$O$80,Classificação!$B$60:$C$63,2,FALSE)</f>
        <v>#N/A</v>
      </c>
    </row>
    <row r="64" spans="1:7" ht="15.75" thickBot="1" x14ac:dyDescent="0.3">
      <c r="A64" s="565"/>
      <c r="B64" s="545" t="s">
        <v>1006</v>
      </c>
      <c r="C64" s="546"/>
      <c r="D64" s="547"/>
    </row>
    <row r="65" spans="1:4" x14ac:dyDescent="0.25">
      <c r="A65" s="565"/>
      <c r="B65" s="24" t="s">
        <v>1078</v>
      </c>
      <c r="C65" s="17">
        <v>0</v>
      </c>
      <c r="D65" s="18"/>
    </row>
    <row r="66" spans="1:4" ht="30" x14ac:dyDescent="0.25">
      <c r="A66" s="565"/>
      <c r="B66" s="11" t="s">
        <v>1079</v>
      </c>
      <c r="C66" s="7">
        <v>3</v>
      </c>
      <c r="D66" s="8"/>
    </row>
    <row r="67" spans="1:4" ht="30" x14ac:dyDescent="0.25">
      <c r="A67" s="565"/>
      <c r="B67" s="11" t="s">
        <v>1080</v>
      </c>
      <c r="C67" s="7">
        <v>5</v>
      </c>
      <c r="D67" s="8"/>
    </row>
    <row r="68" spans="1:4" ht="30.75" thickBot="1" x14ac:dyDescent="0.3">
      <c r="A68" s="565"/>
      <c r="B68" s="25" t="s">
        <v>1081</v>
      </c>
      <c r="C68" s="22">
        <v>8</v>
      </c>
      <c r="D68" s="23" t="e">
        <f>VLOOKUP('Formulário Cadastro'!$O$81,Classificação!$B$65:$C$68,2,FALSE)</f>
        <v>#N/A</v>
      </c>
    </row>
    <row r="69" spans="1:4" ht="15.75" thickBot="1" x14ac:dyDescent="0.3">
      <c r="A69" s="565"/>
      <c r="B69" s="545" t="s">
        <v>1011</v>
      </c>
      <c r="C69" s="546"/>
      <c r="D69" s="547"/>
    </row>
    <row r="70" spans="1:4" x14ac:dyDescent="0.25">
      <c r="A70" s="565"/>
      <c r="B70" s="24" t="s">
        <v>1082</v>
      </c>
      <c r="C70" s="17">
        <v>0</v>
      </c>
      <c r="D70" s="18"/>
    </row>
    <row r="71" spans="1:4" ht="30" x14ac:dyDescent="0.25">
      <c r="A71" s="565"/>
      <c r="B71" s="11" t="s">
        <v>1083</v>
      </c>
      <c r="C71" s="7">
        <v>1</v>
      </c>
      <c r="D71" s="8"/>
    </row>
    <row r="72" spans="1:4" ht="30" x14ac:dyDescent="0.25">
      <c r="A72" s="565"/>
      <c r="B72" s="11" t="s">
        <v>1084</v>
      </c>
      <c r="C72" s="7">
        <v>5</v>
      </c>
      <c r="D72" s="8"/>
    </row>
    <row r="73" spans="1:4" ht="30.75" thickBot="1" x14ac:dyDescent="0.3">
      <c r="A73" s="565"/>
      <c r="B73" s="1" t="s">
        <v>1437</v>
      </c>
      <c r="C73" s="22">
        <v>8</v>
      </c>
      <c r="D73" s="23" t="e">
        <f>VLOOKUP('Formulário Cadastro'!$O$82,Classificação!$B$70:$C$73,2,FALSE)</f>
        <v>#N/A</v>
      </c>
    </row>
    <row r="74" spans="1:4" ht="15.75" thickBot="1" x14ac:dyDescent="0.3">
      <c r="A74" s="565"/>
      <c r="B74" s="545" t="s">
        <v>1012</v>
      </c>
      <c r="C74" s="546"/>
      <c r="D74" s="547"/>
    </row>
    <row r="75" spans="1:4" x14ac:dyDescent="0.25">
      <c r="A75" s="565"/>
      <c r="B75" s="24" t="s">
        <v>1085</v>
      </c>
      <c r="C75" s="17">
        <v>0</v>
      </c>
      <c r="D75" s="18"/>
    </row>
    <row r="76" spans="1:4" ht="30" x14ac:dyDescent="0.25">
      <c r="A76" s="565"/>
      <c r="B76" s="11" t="s">
        <v>1086</v>
      </c>
      <c r="C76" s="7">
        <v>1</v>
      </c>
      <c r="D76" s="8"/>
    </row>
    <row r="77" spans="1:4" ht="45" x14ac:dyDescent="0.25">
      <c r="A77" s="565"/>
      <c r="B77" s="11" t="s">
        <v>1087</v>
      </c>
      <c r="C77" s="7">
        <v>5</v>
      </c>
      <c r="D77" s="8"/>
    </row>
    <row r="78" spans="1:4" ht="45.75" thickBot="1" x14ac:dyDescent="0.3">
      <c r="A78" s="565"/>
      <c r="B78" s="25" t="s">
        <v>1088</v>
      </c>
      <c r="C78" s="22">
        <v>7</v>
      </c>
      <c r="D78" s="23" t="e">
        <f>VLOOKUP('Formulário Cadastro'!$O$83,Classificação!$B$75:$C$78,2,FALSE)</f>
        <v>#N/A</v>
      </c>
    </row>
    <row r="79" spans="1:4" ht="15.75" thickBot="1" x14ac:dyDescent="0.3">
      <c r="A79" s="565"/>
      <c r="B79" s="545" t="s">
        <v>1306</v>
      </c>
      <c r="C79" s="546"/>
      <c r="D79" s="547"/>
    </row>
    <row r="80" spans="1:4" x14ac:dyDescent="0.25">
      <c r="A80" s="565"/>
      <c r="B80" s="24" t="s">
        <v>1128</v>
      </c>
      <c r="C80" s="17">
        <v>0</v>
      </c>
      <c r="D80" s="18"/>
    </row>
    <row r="81" spans="1:4" ht="30" x14ac:dyDescent="0.25">
      <c r="A81" s="565"/>
      <c r="B81" s="11" t="s">
        <v>1129</v>
      </c>
      <c r="C81" s="7">
        <v>1</v>
      </c>
      <c r="D81" s="8"/>
    </row>
    <row r="82" spans="1:4" ht="45" x14ac:dyDescent="0.25">
      <c r="A82" s="565"/>
      <c r="B82" s="11" t="s">
        <v>1130</v>
      </c>
      <c r="C82" s="7">
        <v>2</v>
      </c>
      <c r="D82" s="8"/>
    </row>
    <row r="83" spans="1:4" ht="45.75" thickBot="1" x14ac:dyDescent="0.3">
      <c r="A83" s="565"/>
      <c r="B83" s="25" t="s">
        <v>1131</v>
      </c>
      <c r="C83" s="22">
        <v>4</v>
      </c>
      <c r="D83" s="23" t="e">
        <f>VLOOKUP('Formulário Cadastro'!$O$84,Classificação!$B$80:$C$83,2,FALSE)</f>
        <v>#N/A</v>
      </c>
    </row>
    <row r="84" spans="1:4" ht="15.75" thickBot="1" x14ac:dyDescent="0.3">
      <c r="A84" s="566"/>
      <c r="B84" s="540" t="s">
        <v>1303</v>
      </c>
      <c r="C84" s="541"/>
      <c r="D84" s="26" t="e">
        <f>$D$58+$D$68+$D$73+$D$78+$D$83</f>
        <v>#N/A</v>
      </c>
    </row>
    <row r="85" spans="1:4" ht="15.75" thickBot="1" x14ac:dyDescent="0.3">
      <c r="A85" s="567" t="s">
        <v>1307</v>
      </c>
      <c r="B85" s="545" t="s">
        <v>1016</v>
      </c>
      <c r="C85" s="546"/>
      <c r="D85" s="547"/>
    </row>
    <row r="86" spans="1:4" x14ac:dyDescent="0.25">
      <c r="A86" s="568"/>
      <c r="B86" s="24" t="s">
        <v>1089</v>
      </c>
      <c r="C86" s="17">
        <v>0</v>
      </c>
      <c r="D86" s="18"/>
    </row>
    <row r="87" spans="1:4" x14ac:dyDescent="0.25">
      <c r="A87" s="568"/>
      <c r="B87" s="11" t="s">
        <v>1090</v>
      </c>
      <c r="C87" s="7">
        <v>2</v>
      </c>
      <c r="D87" s="8"/>
    </row>
    <row r="88" spans="1:4" x14ac:dyDescent="0.25">
      <c r="A88" s="568"/>
      <c r="B88" s="11" t="s">
        <v>1091</v>
      </c>
      <c r="C88" s="7">
        <v>4</v>
      </c>
      <c r="D88" s="8"/>
    </row>
    <row r="89" spans="1:4" x14ac:dyDescent="0.25">
      <c r="A89" s="568"/>
      <c r="B89" s="11" t="s">
        <v>1092</v>
      </c>
      <c r="C89" s="7">
        <v>6</v>
      </c>
      <c r="D89" s="8"/>
    </row>
    <row r="90" spans="1:4" ht="15.75" thickBot="1" x14ac:dyDescent="0.3">
      <c r="A90" s="568"/>
      <c r="B90" s="25" t="s">
        <v>1093</v>
      </c>
      <c r="C90" s="22">
        <v>8</v>
      </c>
      <c r="D90" s="23" t="e">
        <f>VLOOKUP('Formulário Cadastro'!$O$87,Classificação!$B$86:$C$90,2,FALSE)</f>
        <v>#N/A</v>
      </c>
    </row>
    <row r="91" spans="1:4" ht="15.75" thickBot="1" x14ac:dyDescent="0.3">
      <c r="A91" s="568"/>
      <c r="B91" s="545" t="s">
        <v>1017</v>
      </c>
      <c r="C91" s="546"/>
      <c r="D91" s="547"/>
    </row>
    <row r="92" spans="1:4" ht="30" x14ac:dyDescent="0.25">
      <c r="A92" s="568"/>
      <c r="B92" s="24" t="s">
        <v>1094</v>
      </c>
      <c r="C92" s="17">
        <v>0</v>
      </c>
      <c r="D92" s="18"/>
    </row>
    <row r="93" spans="1:4" x14ac:dyDescent="0.25">
      <c r="A93" s="568"/>
      <c r="B93" s="11" t="s">
        <v>1095</v>
      </c>
      <c r="C93" s="7">
        <v>4</v>
      </c>
      <c r="D93" s="8"/>
    </row>
    <row r="94" spans="1:4" ht="30.75" thickBot="1" x14ac:dyDescent="0.3">
      <c r="A94" s="568"/>
      <c r="B94" s="25" t="s">
        <v>1451</v>
      </c>
      <c r="C94" s="22">
        <v>8</v>
      </c>
      <c r="D94" s="23" t="e">
        <f>VLOOKUP('Formulário Cadastro'!$O$88,Classificação!$B$92:$C$94,2,FALSE)</f>
        <v>#N/A</v>
      </c>
    </row>
    <row r="95" spans="1:4" ht="15.75" thickBot="1" x14ac:dyDescent="0.3">
      <c r="A95" s="568"/>
      <c r="B95" s="545" t="s">
        <v>1018</v>
      </c>
      <c r="C95" s="546"/>
      <c r="D95" s="547"/>
    </row>
    <row r="96" spans="1:4" x14ac:dyDescent="0.25">
      <c r="A96" s="568"/>
      <c r="B96" s="24" t="s">
        <v>1097</v>
      </c>
      <c r="C96" s="17">
        <v>0</v>
      </c>
      <c r="D96" s="18"/>
    </row>
    <row r="97" spans="1:4" x14ac:dyDescent="0.25">
      <c r="A97" s="568"/>
      <c r="B97" s="11" t="s">
        <v>1098</v>
      </c>
      <c r="C97" s="7">
        <v>3</v>
      </c>
      <c r="D97" s="8"/>
    </row>
    <row r="98" spans="1:4" x14ac:dyDescent="0.25">
      <c r="A98" s="568"/>
      <c r="B98" s="11" t="s">
        <v>1099</v>
      </c>
      <c r="C98" s="7">
        <v>5</v>
      </c>
      <c r="D98" s="8"/>
    </row>
    <row r="99" spans="1:4" ht="30.75" thickBot="1" x14ac:dyDescent="0.3">
      <c r="A99" s="568"/>
      <c r="B99" s="25" t="s">
        <v>1100</v>
      </c>
      <c r="C99" s="22">
        <v>6</v>
      </c>
      <c r="D99" s="23" t="e">
        <f>VLOOKUP('Formulário Cadastro'!$O$89,Classificação!$B$96:$C$99,2,FALSE)</f>
        <v>#N/A</v>
      </c>
    </row>
    <row r="100" spans="1:4" ht="15.75" thickBot="1" x14ac:dyDescent="0.3">
      <c r="A100" s="568"/>
      <c r="B100" s="545" t="s">
        <v>1020</v>
      </c>
      <c r="C100" s="546"/>
      <c r="D100" s="547"/>
    </row>
    <row r="101" spans="1:4" x14ac:dyDescent="0.25">
      <c r="A101" s="568"/>
      <c r="B101" s="24" t="s">
        <v>1111</v>
      </c>
      <c r="C101" s="17">
        <v>0</v>
      </c>
      <c r="D101" s="18"/>
    </row>
    <row r="102" spans="1:4" ht="15.75" thickBot="1" x14ac:dyDescent="0.3">
      <c r="A102" s="568"/>
      <c r="B102" s="25" t="s">
        <v>1112</v>
      </c>
      <c r="C102" s="22">
        <v>6</v>
      </c>
      <c r="D102" s="23" t="e">
        <f>VLOOKUP('Formulário Cadastro'!$O$90,Classificação!$B$101:$C$102,2,FALSE)</f>
        <v>#N/A</v>
      </c>
    </row>
    <row r="103" spans="1:4" ht="15.75" thickBot="1" x14ac:dyDescent="0.3">
      <c r="A103" s="568"/>
      <c r="B103" s="545" t="s">
        <v>1019</v>
      </c>
      <c r="C103" s="546"/>
      <c r="D103" s="547"/>
    </row>
    <row r="104" spans="1:4" x14ac:dyDescent="0.25">
      <c r="A104" s="568"/>
      <c r="B104" s="24" t="s">
        <v>1101</v>
      </c>
      <c r="C104" s="17">
        <v>0</v>
      </c>
      <c r="D104" s="18"/>
    </row>
    <row r="105" spans="1:4" x14ac:dyDescent="0.25">
      <c r="A105" s="568"/>
      <c r="B105" s="11" t="s">
        <v>1102</v>
      </c>
      <c r="C105" s="7">
        <v>3</v>
      </c>
      <c r="D105" s="8"/>
    </row>
    <row r="106" spans="1:4" ht="15.75" thickBot="1" x14ac:dyDescent="0.3">
      <c r="A106" s="568"/>
      <c r="B106" s="25" t="s">
        <v>1103</v>
      </c>
      <c r="C106" s="22">
        <v>5</v>
      </c>
      <c r="D106" s="23" t="e">
        <f>VLOOKUP('Formulário Cadastro'!$O$91,Classificação!$B$104:$C$106,2,FALSE)</f>
        <v>#N/A</v>
      </c>
    </row>
    <row r="107" spans="1:4" ht="15.75" thickBot="1" x14ac:dyDescent="0.3">
      <c r="A107" s="569"/>
      <c r="B107" s="540" t="s">
        <v>1303</v>
      </c>
      <c r="C107" s="570"/>
      <c r="D107" s="39" t="e">
        <f>D90+D94+D99+D102+D106</f>
        <v>#N/A</v>
      </c>
    </row>
    <row r="108" spans="1:4" ht="15" customHeight="1" thickBot="1" x14ac:dyDescent="0.3">
      <c r="A108" s="569"/>
      <c r="B108" s="540" t="s">
        <v>1315</v>
      </c>
      <c r="C108" s="541"/>
      <c r="D108" s="26" t="e">
        <f>$D$52+$D$84+$D$107</f>
        <v>#N/A</v>
      </c>
    </row>
    <row r="109" spans="1:4" ht="15" customHeight="1" thickBot="1" x14ac:dyDescent="0.3">
      <c r="A109" s="542" t="s">
        <v>1313</v>
      </c>
      <c r="B109" s="545" t="s">
        <v>1308</v>
      </c>
      <c r="C109" s="546"/>
      <c r="D109" s="547"/>
    </row>
    <row r="110" spans="1:4" x14ac:dyDescent="0.25">
      <c r="A110" s="543"/>
      <c r="B110" s="27" t="s">
        <v>1312</v>
      </c>
      <c r="C110" s="17">
        <v>1</v>
      </c>
      <c r="D110" s="18"/>
    </row>
    <row r="111" spans="1:4" x14ac:dyDescent="0.25">
      <c r="A111" s="543"/>
      <c r="B111" s="13" t="s">
        <v>1309</v>
      </c>
      <c r="C111" s="7">
        <v>2</v>
      </c>
      <c r="D111" s="8"/>
    </row>
    <row r="112" spans="1:4" x14ac:dyDescent="0.25">
      <c r="A112" s="543"/>
      <c r="B112" s="13" t="s">
        <v>1310</v>
      </c>
      <c r="C112" s="7">
        <v>3</v>
      </c>
      <c r="D112" s="8"/>
    </row>
    <row r="113" spans="1:4" ht="15.75" thickBot="1" x14ac:dyDescent="0.3">
      <c r="A113" s="543"/>
      <c r="B113" s="28" t="s">
        <v>1311</v>
      </c>
      <c r="C113" s="22">
        <v>5</v>
      </c>
      <c r="D113" s="23">
        <f>VLOOKUP('Formulário Cadastro'!$O$72,Classificação!$B$110:$C$113,2,FALSE)</f>
        <v>1</v>
      </c>
    </row>
    <row r="114" spans="1:4" ht="15.75" thickBot="1" x14ac:dyDescent="0.3">
      <c r="A114" s="543"/>
      <c r="B114" s="545" t="s">
        <v>1029</v>
      </c>
      <c r="C114" s="546"/>
      <c r="D114" s="547"/>
    </row>
    <row r="115" spans="1:4" ht="30" x14ac:dyDescent="0.25">
      <c r="A115" s="543"/>
      <c r="B115" s="51" t="s">
        <v>1113</v>
      </c>
      <c r="C115" s="17">
        <v>0</v>
      </c>
      <c r="D115" s="31"/>
    </row>
    <row r="116" spans="1:4" ht="45" x14ac:dyDescent="0.25">
      <c r="A116" s="543"/>
      <c r="B116" s="52" t="s">
        <v>1114</v>
      </c>
      <c r="C116" s="7">
        <v>4</v>
      </c>
      <c r="D116" s="9"/>
    </row>
    <row r="117" spans="1:4" ht="60" x14ac:dyDescent="0.25">
      <c r="A117" s="543"/>
      <c r="B117" s="52" t="s">
        <v>1115</v>
      </c>
      <c r="C117" s="7">
        <v>8</v>
      </c>
      <c r="D117" s="9"/>
    </row>
    <row r="118" spans="1:4" ht="45.75" thickBot="1" x14ac:dyDescent="0.3">
      <c r="A118" s="543"/>
      <c r="B118" s="53" t="s">
        <v>1116</v>
      </c>
      <c r="C118" s="22">
        <v>12</v>
      </c>
      <c r="D118" s="23" t="e">
        <f>VLOOKUP('Formulário Cadastro'!$O$97,Classificação!$B$115:$C$118,2,FALSE)</f>
        <v>#N/A</v>
      </c>
    </row>
    <row r="119" spans="1:4" ht="15.75" thickBot="1" x14ac:dyDescent="0.3">
      <c r="A119" s="543"/>
      <c r="B119" s="545" t="s">
        <v>1030</v>
      </c>
      <c r="C119" s="546"/>
      <c r="D119" s="547"/>
    </row>
    <row r="120" spans="1:4" ht="60" x14ac:dyDescent="0.25">
      <c r="A120" s="543"/>
      <c r="B120" s="54" t="s">
        <v>1117</v>
      </c>
      <c r="C120" s="17">
        <v>1</v>
      </c>
      <c r="D120" s="31"/>
    </row>
    <row r="121" spans="1:4" ht="60" x14ac:dyDescent="0.25">
      <c r="A121" s="543"/>
      <c r="B121" s="55" t="s">
        <v>1118</v>
      </c>
      <c r="C121" s="7">
        <v>2</v>
      </c>
      <c r="D121" s="9"/>
    </row>
    <row r="122" spans="1:4" ht="45.75" thickBot="1" x14ac:dyDescent="0.3">
      <c r="A122" s="543"/>
      <c r="B122" s="56" t="s">
        <v>1119</v>
      </c>
      <c r="C122" s="22">
        <v>5</v>
      </c>
      <c r="D122" s="23" t="e">
        <f>VLOOKUP('Formulário Cadastro'!$O$98,Classificação!$B$120:$C$122,2,FALSE)</f>
        <v>#N/A</v>
      </c>
    </row>
    <row r="123" spans="1:4" ht="15.75" thickBot="1" x14ac:dyDescent="0.3">
      <c r="A123" s="543"/>
      <c r="B123" s="548" t="s">
        <v>1031</v>
      </c>
      <c r="C123" s="549"/>
      <c r="D123" s="550"/>
    </row>
    <row r="124" spans="1:4" ht="30" x14ac:dyDescent="0.25">
      <c r="A124" s="543"/>
      <c r="B124" s="27" t="s">
        <v>1120</v>
      </c>
      <c r="C124" s="17">
        <v>0</v>
      </c>
      <c r="D124" s="31"/>
    </row>
    <row r="125" spans="1:4" ht="30" x14ac:dyDescent="0.25">
      <c r="A125" s="543"/>
      <c r="B125" s="13" t="s">
        <v>1121</v>
      </c>
      <c r="C125" s="7">
        <v>1</v>
      </c>
      <c r="D125" s="9"/>
    </row>
    <row r="126" spans="1:4" ht="45" x14ac:dyDescent="0.25">
      <c r="A126" s="543"/>
      <c r="B126" s="13" t="s">
        <v>1122</v>
      </c>
      <c r="C126" s="7">
        <v>3</v>
      </c>
      <c r="D126" s="9"/>
    </row>
    <row r="127" spans="1:4" ht="60.75" thickBot="1" x14ac:dyDescent="0.3">
      <c r="A127" s="543"/>
      <c r="B127" s="28" t="s">
        <v>1123</v>
      </c>
      <c r="C127" s="22">
        <v>8</v>
      </c>
      <c r="D127" s="23" t="e">
        <f>VLOOKUP('Formulário Cadastro'!$O$99,Classificação!$B$124:$C$127,2,FALSE)</f>
        <v>#N/A</v>
      </c>
    </row>
    <row r="128" spans="1:4" ht="15.75" thickBot="1" x14ac:dyDescent="0.3">
      <c r="A128" s="544"/>
      <c r="B128" s="540" t="s">
        <v>1314</v>
      </c>
      <c r="C128" s="541"/>
      <c r="D128" s="26" t="e">
        <f>$D$113+$D$118+$D$122+$D$127</f>
        <v>#N/A</v>
      </c>
    </row>
    <row r="130" spans="2:5" ht="15.75" thickBot="1" x14ac:dyDescent="0.3"/>
    <row r="131" spans="2:5" ht="15.75" thickBot="1" x14ac:dyDescent="0.3">
      <c r="B131" s="535" t="s">
        <v>1358</v>
      </c>
      <c r="C131" s="536"/>
      <c r="D131" s="537"/>
    </row>
    <row r="132" spans="2:5" x14ac:dyDescent="0.25">
      <c r="B132" s="41" t="s">
        <v>1356</v>
      </c>
      <c r="C132" s="42"/>
      <c r="D132" s="45" t="e">
        <f>($D$52+$D$84+$D$107)</f>
        <v>#N/A</v>
      </c>
      <c r="E132" s="34"/>
    </row>
    <row r="133" spans="2:5" ht="15.75" thickBot="1" x14ac:dyDescent="0.3">
      <c r="B133" s="43" t="s">
        <v>1363</v>
      </c>
      <c r="C133" s="44"/>
      <c r="D133" s="46" t="e">
        <f>$D$84</f>
        <v>#N/A</v>
      </c>
      <c r="E133" s="34"/>
    </row>
    <row r="134" spans="2:5" x14ac:dyDescent="0.25">
      <c r="B134" s="30" t="s">
        <v>1355</v>
      </c>
      <c r="C134" s="40"/>
      <c r="D134" s="18" t="s">
        <v>1348</v>
      </c>
    </row>
    <row r="135" spans="2:5" x14ac:dyDescent="0.25">
      <c r="B135" s="14" t="s">
        <v>1352</v>
      </c>
      <c r="C135" s="35"/>
      <c r="D135" s="8" t="s">
        <v>1348</v>
      </c>
    </row>
    <row r="136" spans="2:5" x14ac:dyDescent="0.25">
      <c r="B136" s="14" t="s">
        <v>1353</v>
      </c>
      <c r="C136" s="35"/>
      <c r="D136" s="8" t="s">
        <v>1349</v>
      </c>
    </row>
    <row r="137" spans="2:5" ht="15.75" thickBot="1" x14ac:dyDescent="0.3">
      <c r="B137" s="29" t="s">
        <v>1354</v>
      </c>
      <c r="C137" s="37"/>
      <c r="D137" s="23" t="s">
        <v>1350</v>
      </c>
    </row>
    <row r="138" spans="2:5" ht="15.75" thickBot="1" x14ac:dyDescent="0.3">
      <c r="B138" s="48" t="s">
        <v>1293</v>
      </c>
      <c r="C138" s="38"/>
      <c r="D138" s="39" t="e">
        <f>IF($D$133&gt;=8,"ALTO",IF($D$132&gt;=60,"ALTO",IF(AND($D$132&gt;35,$D$132&lt;60),"MÉDIO",IF($D$132&lt;=35,"BAIXO","FALSO"))))</f>
        <v>#N/A</v>
      </c>
    </row>
    <row r="139" spans="2:5" ht="15.75" thickBot="1" x14ac:dyDescent="0.3"/>
    <row r="140" spans="2:5" ht="15.75" thickBot="1" x14ac:dyDescent="0.3">
      <c r="B140" s="535" t="s">
        <v>1359</v>
      </c>
      <c r="C140" s="536"/>
      <c r="D140" s="537"/>
    </row>
    <row r="141" spans="2:5" ht="15.75" thickBot="1" x14ac:dyDescent="0.3">
      <c r="B141" s="538" t="s">
        <v>1362</v>
      </c>
      <c r="C141" s="539"/>
      <c r="D141" s="47" t="e">
        <f>$D$128</f>
        <v>#N/A</v>
      </c>
    </row>
    <row r="142" spans="2:5" x14ac:dyDescent="0.25">
      <c r="B142" s="30" t="s">
        <v>1360</v>
      </c>
      <c r="C142" s="40"/>
      <c r="D142" s="18" t="s">
        <v>1348</v>
      </c>
    </row>
    <row r="143" spans="2:5" x14ac:dyDescent="0.25">
      <c r="B143" s="14" t="s">
        <v>1361</v>
      </c>
      <c r="C143" s="35"/>
      <c r="D143" s="8" t="s">
        <v>1349</v>
      </c>
    </row>
    <row r="144" spans="2:5" ht="15.75" thickBot="1" x14ac:dyDescent="0.3">
      <c r="B144" s="14" t="s">
        <v>1364</v>
      </c>
      <c r="C144" s="37"/>
      <c r="D144" s="23" t="s">
        <v>1350</v>
      </c>
    </row>
    <row r="145" spans="2:5" ht="15.75" thickBot="1" x14ac:dyDescent="0.3">
      <c r="B145" s="49" t="s">
        <v>1293</v>
      </c>
      <c r="C145" s="50"/>
      <c r="D145" s="39" t="e">
        <f>IF($D$141&gt;=16,"ALTO",IF(AND($D$141&gt;10,$D$141&lt;16),"MÉDIO",IF($D$141&lt;=10,"BAIXO","FALSO")))</f>
        <v>#N/A</v>
      </c>
    </row>
    <row r="146" spans="2:5" ht="15.75" thickBot="1" x14ac:dyDescent="0.3"/>
    <row r="147" spans="2:5" ht="15.75" thickBot="1" x14ac:dyDescent="0.3">
      <c r="B147" s="532" t="s">
        <v>1371</v>
      </c>
      <c r="C147" s="533"/>
      <c r="D147" s="533"/>
      <c r="E147" s="534"/>
    </row>
    <row r="148" spans="2:5" ht="15.75" thickBot="1" x14ac:dyDescent="0.3">
      <c r="B148" s="57" t="s">
        <v>1351</v>
      </c>
      <c r="C148" s="58" t="s">
        <v>1357</v>
      </c>
      <c r="D148" s="58" t="s">
        <v>1365</v>
      </c>
      <c r="E148" s="59" t="s">
        <v>1366</v>
      </c>
    </row>
    <row r="149" spans="2:5" x14ac:dyDescent="0.25">
      <c r="B149" s="60" t="s">
        <v>1348</v>
      </c>
      <c r="C149" s="17" t="s">
        <v>1348</v>
      </c>
      <c r="D149" s="17" t="str">
        <f>CONCATENATE($B$149,$C$149)</f>
        <v>ALTOALTO</v>
      </c>
      <c r="E149" s="18" t="s">
        <v>1222</v>
      </c>
    </row>
    <row r="150" spans="2:5" x14ac:dyDescent="0.25">
      <c r="B150" s="61" t="s">
        <v>1348</v>
      </c>
      <c r="C150" s="7" t="s">
        <v>1349</v>
      </c>
      <c r="D150" s="17" t="str">
        <f>CONCATENATE($B$150,$C$150)</f>
        <v>ALTOMÉDIO</v>
      </c>
      <c r="E150" s="8" t="s">
        <v>1367</v>
      </c>
    </row>
    <row r="151" spans="2:5" x14ac:dyDescent="0.25">
      <c r="B151" s="61" t="s">
        <v>1348</v>
      </c>
      <c r="C151" s="7" t="s">
        <v>1350</v>
      </c>
      <c r="D151" s="17" t="str">
        <f>CONCATENATE($B$151,$C$151)</f>
        <v>ALTOBAIXO</v>
      </c>
      <c r="E151" s="8" t="s">
        <v>1368</v>
      </c>
    </row>
    <row r="152" spans="2:5" x14ac:dyDescent="0.25">
      <c r="B152" s="61" t="s">
        <v>1349</v>
      </c>
      <c r="C152" s="7" t="s">
        <v>1348</v>
      </c>
      <c r="D152" s="17" t="str">
        <f>CONCATENATE($B$152,$C$152)</f>
        <v>MÉDIOALTO</v>
      </c>
      <c r="E152" s="8" t="s">
        <v>1222</v>
      </c>
    </row>
    <row r="153" spans="2:5" x14ac:dyDescent="0.25">
      <c r="B153" s="61" t="s">
        <v>1349</v>
      </c>
      <c r="C153" s="7" t="s">
        <v>1349</v>
      </c>
      <c r="D153" s="17" t="str">
        <f>CONCATENATE($B$153,$C$153)</f>
        <v>MÉDIOMÉDIO</v>
      </c>
      <c r="E153" s="8" t="s">
        <v>1368</v>
      </c>
    </row>
    <row r="154" spans="2:5" x14ac:dyDescent="0.25">
      <c r="B154" s="61" t="s">
        <v>1349</v>
      </c>
      <c r="C154" s="7" t="s">
        <v>1350</v>
      </c>
      <c r="D154" s="17" t="str">
        <f>CONCATENATE($B$154,$C$154)</f>
        <v>MÉDIOBAIXO</v>
      </c>
      <c r="E154" s="8" t="s">
        <v>1369</v>
      </c>
    </row>
    <row r="155" spans="2:5" x14ac:dyDescent="0.25">
      <c r="B155" s="61" t="s">
        <v>1350</v>
      </c>
      <c r="C155" s="7" t="s">
        <v>1348</v>
      </c>
      <c r="D155" s="17" t="str">
        <f>CONCATENATE($B$155,$C$155)</f>
        <v>BAIXOALTO</v>
      </c>
      <c r="E155" s="8" t="s">
        <v>1222</v>
      </c>
    </row>
    <row r="156" spans="2:5" x14ac:dyDescent="0.25">
      <c r="B156" s="61" t="s">
        <v>1350</v>
      </c>
      <c r="C156" s="7" t="s">
        <v>1349</v>
      </c>
      <c r="D156" s="17" t="str">
        <f>CONCATENATE($B$156,$C$156)</f>
        <v>BAIXOMÉDIO</v>
      </c>
      <c r="E156" s="8" t="s">
        <v>1369</v>
      </c>
    </row>
    <row r="157" spans="2:5" ht="15.75" thickBot="1" x14ac:dyDescent="0.3">
      <c r="B157" s="62" t="s">
        <v>1350</v>
      </c>
      <c r="C157" s="63" t="s">
        <v>1350</v>
      </c>
      <c r="D157" s="67" t="str">
        <f>CONCATENATE($B$157,$C$157)</f>
        <v>BAIXOBAIXO</v>
      </c>
      <c r="E157" s="36" t="s">
        <v>1369</v>
      </c>
    </row>
    <row r="158" spans="2:5" ht="15.75" thickBot="1" x14ac:dyDescent="0.3">
      <c r="B158" s="64" t="s">
        <v>1370</v>
      </c>
      <c r="C158" s="65"/>
      <c r="D158" s="68" t="e">
        <f>CONCATENATE($D$138,$D$145)</f>
        <v>#N/A</v>
      </c>
      <c r="E158" s="66" t="e">
        <f>VLOOKUP($D$158,$D$149:$E$157,2,FALSE)</f>
        <v>#N/A</v>
      </c>
    </row>
    <row r="160" spans="2:5" ht="15.75" thickBot="1" x14ac:dyDescent="0.3"/>
    <row r="161" spans="2:7" ht="15.75" thickBot="1" x14ac:dyDescent="0.3">
      <c r="B161" s="532" t="s">
        <v>1342</v>
      </c>
      <c r="C161" s="533"/>
      <c r="D161" s="533"/>
      <c r="E161" s="533"/>
      <c r="F161" s="533"/>
      <c r="G161" s="534"/>
    </row>
    <row r="162" spans="2:7" x14ac:dyDescent="0.25">
      <c r="B162" s="69" t="s">
        <v>1372</v>
      </c>
      <c r="C162" s="526" t="s">
        <v>1373</v>
      </c>
      <c r="D162" s="526"/>
      <c r="E162" s="526"/>
      <c r="F162" s="526"/>
      <c r="G162" s="527"/>
    </row>
    <row r="163" spans="2:7" ht="87.75" customHeight="1" x14ac:dyDescent="0.25">
      <c r="B163" s="61" t="s">
        <v>1222</v>
      </c>
      <c r="C163" s="528" t="s">
        <v>1463</v>
      </c>
      <c r="D163" s="528"/>
      <c r="E163" s="528"/>
      <c r="F163" s="528"/>
      <c r="G163" s="529"/>
    </row>
    <row r="164" spans="2:7" ht="82.5" customHeight="1" x14ac:dyDescent="0.25">
      <c r="B164" s="61" t="s">
        <v>1367</v>
      </c>
      <c r="C164" s="528" t="s">
        <v>1464</v>
      </c>
      <c r="D164" s="528"/>
      <c r="E164" s="528"/>
      <c r="F164" s="528"/>
      <c r="G164" s="529"/>
    </row>
    <row r="165" spans="2:7" ht="57.75" customHeight="1" x14ac:dyDescent="0.25">
      <c r="B165" s="61" t="s">
        <v>1368</v>
      </c>
      <c r="C165" s="528" t="s">
        <v>1465</v>
      </c>
      <c r="D165" s="528"/>
      <c r="E165" s="528"/>
      <c r="F165" s="528"/>
      <c r="G165" s="529"/>
    </row>
    <row r="166" spans="2:7" ht="57.75" customHeight="1" thickBot="1" x14ac:dyDescent="0.3">
      <c r="B166" s="62" t="s">
        <v>1369</v>
      </c>
      <c r="C166" s="528" t="s">
        <v>1466</v>
      </c>
      <c r="D166" s="528"/>
      <c r="E166" s="528"/>
      <c r="F166" s="528"/>
      <c r="G166" s="529"/>
    </row>
    <row r="167" spans="2:7" ht="15.75" thickBot="1" x14ac:dyDescent="0.3"/>
    <row r="168" spans="2:7" ht="15.75" thickBot="1" x14ac:dyDescent="0.3">
      <c r="B168" s="77" t="s">
        <v>1374</v>
      </c>
      <c r="C168" s="78" t="s">
        <v>1377</v>
      </c>
    </row>
    <row r="169" spans="2:7" x14ac:dyDescent="0.25">
      <c r="B169" s="60" t="s">
        <v>1375</v>
      </c>
      <c r="C169" s="74">
        <f>'Formulário Cadastro'!$N$68</f>
        <v>0</v>
      </c>
    </row>
    <row r="170" spans="2:7" x14ac:dyDescent="0.25">
      <c r="B170" s="61" t="s">
        <v>1376</v>
      </c>
      <c r="C170" s="73">
        <f>'Formulário Cadastro'!$N$72</f>
        <v>0</v>
      </c>
    </row>
    <row r="171" spans="2:7" x14ac:dyDescent="0.25">
      <c r="B171" s="61" t="s">
        <v>1357</v>
      </c>
      <c r="C171" s="8" t="e">
        <f>$D$145</f>
        <v>#N/A</v>
      </c>
    </row>
    <row r="172" spans="2:7" ht="15.75" thickBot="1" x14ac:dyDescent="0.3">
      <c r="B172" s="79" t="s">
        <v>1293</v>
      </c>
      <c r="C172" s="23" t="e">
        <f>IF($C$169&gt;=15,"SIM",IF($C$170&gt;=3000000,"SIM",IF(OR($C$171="MÉDIO",$C$171="ALTO"),"SIM","NÃO")))</f>
        <v>#N/A</v>
      </c>
    </row>
    <row r="173" spans="2:7" ht="15.75" thickBot="1" x14ac:dyDescent="0.3">
      <c r="B173" s="75" t="s">
        <v>1380</v>
      </c>
      <c r="C173" s="80" t="e">
        <f>$C$172</f>
        <v>#N/A</v>
      </c>
    </row>
    <row r="174" spans="2:7" ht="15.75" thickBot="1" x14ac:dyDescent="0.3">
      <c r="B174" s="34"/>
      <c r="C174" s="34"/>
    </row>
    <row r="175" spans="2:7" ht="15.75" thickBot="1" x14ac:dyDescent="0.3">
      <c r="B175" s="76" t="s">
        <v>1378</v>
      </c>
      <c r="C175" s="530" t="s">
        <v>1379</v>
      </c>
      <c r="D175" s="530"/>
      <c r="E175" s="530"/>
      <c r="F175" s="530"/>
      <c r="G175" s="531"/>
    </row>
    <row r="176" spans="2:7" ht="87" customHeight="1" x14ac:dyDescent="0.25">
      <c r="B176" s="60" t="s">
        <v>1014</v>
      </c>
      <c r="C176" s="522" t="s">
        <v>1381</v>
      </c>
      <c r="D176" s="522"/>
      <c r="E176" s="522"/>
      <c r="F176" s="522"/>
      <c r="G176" s="523"/>
    </row>
    <row r="177" spans="2:7" ht="100.5" customHeight="1" thickBot="1" x14ac:dyDescent="0.3">
      <c r="B177" s="62" t="s">
        <v>1015</v>
      </c>
      <c r="C177" s="524" t="s">
        <v>1383</v>
      </c>
      <c r="D177" s="524"/>
      <c r="E177" s="524"/>
      <c r="F177" s="524"/>
      <c r="G177" s="525"/>
    </row>
    <row r="179" spans="2:7" x14ac:dyDescent="0.25">
      <c r="B179" s="34"/>
    </row>
    <row r="180" spans="2:7" x14ac:dyDescent="0.25">
      <c r="B180" s="34"/>
    </row>
  </sheetData>
  <sheetProtection algorithmName="SHA-512" hashValue="WwXKCDptgValIp8mHsvKa9G8hX2fWbwEsM+MWXSdTytoADtDqrNdw8H0GOog7ys+rKfP8bxzmJscpVLAj3wRbw==" saltValue="AS3X20ktAUyUi6bboX1GXQ==" spinCount="100000" sheet="1" objects="1" scenarios="1" selectLockedCells="1" selectUnlockedCells="1"/>
  <mergeCells count="43">
    <mergeCell ref="B84:C84"/>
    <mergeCell ref="A53:A84"/>
    <mergeCell ref="A85:A108"/>
    <mergeCell ref="B85:D85"/>
    <mergeCell ref="B91:D91"/>
    <mergeCell ref="B95:D95"/>
    <mergeCell ref="B100:D100"/>
    <mergeCell ref="B103:D103"/>
    <mergeCell ref="B108:C108"/>
    <mergeCell ref="B53:D53"/>
    <mergeCell ref="B59:D59"/>
    <mergeCell ref="B64:D64"/>
    <mergeCell ref="B69:D69"/>
    <mergeCell ref="B74:D74"/>
    <mergeCell ref="B79:D79"/>
    <mergeCell ref="B107:C107"/>
    <mergeCell ref="A1:B1"/>
    <mergeCell ref="A2:A52"/>
    <mergeCell ref="B52:C52"/>
    <mergeCell ref="B7:D7"/>
    <mergeCell ref="B10:D10"/>
    <mergeCell ref="B22:D22"/>
    <mergeCell ref="B34:D34"/>
    <mergeCell ref="B41:D41"/>
    <mergeCell ref="B128:C128"/>
    <mergeCell ref="A109:A128"/>
    <mergeCell ref="B109:D109"/>
    <mergeCell ref="B114:D114"/>
    <mergeCell ref="B119:D119"/>
    <mergeCell ref="B123:D123"/>
    <mergeCell ref="B161:G161"/>
    <mergeCell ref="B131:D131"/>
    <mergeCell ref="B140:D140"/>
    <mergeCell ref="B141:C141"/>
    <mergeCell ref="B147:E147"/>
    <mergeCell ref="C176:G176"/>
    <mergeCell ref="C177:G177"/>
    <mergeCell ref="C162:G162"/>
    <mergeCell ref="C163:G163"/>
    <mergeCell ref="C164:G164"/>
    <mergeCell ref="C165:G165"/>
    <mergeCell ref="C166:G166"/>
    <mergeCell ref="C175:G175"/>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AO855"/>
  <sheetViews>
    <sheetView topLeftCell="P10" workbookViewId="0">
      <selection activeCell="V9" sqref="V9"/>
    </sheetView>
  </sheetViews>
  <sheetFormatPr defaultColWidth="9.140625" defaultRowHeight="15" x14ac:dyDescent="0.25"/>
  <cols>
    <col min="1" max="1" width="21.140625" customWidth="1"/>
    <col min="2" max="2" width="27.85546875" style="1" customWidth="1"/>
    <col min="3" max="3" width="55.42578125" style="1" customWidth="1"/>
    <col min="4" max="4" width="40.140625" style="1" customWidth="1"/>
    <col min="5" max="5" width="51.5703125" style="1" customWidth="1"/>
    <col min="6" max="6" width="35.5703125" style="1" customWidth="1"/>
    <col min="7" max="7" width="12" style="1" customWidth="1"/>
    <col min="8" max="8" width="27.42578125" style="1" customWidth="1"/>
    <col min="9" max="10" width="41" style="1" customWidth="1"/>
    <col min="11" max="16" width="36.28515625" style="1" customWidth="1"/>
    <col min="17" max="17" width="53.5703125" style="1" customWidth="1"/>
    <col min="18" max="19" width="33.140625" style="1" customWidth="1"/>
    <col min="20" max="20" width="55.28515625" style="1" customWidth="1"/>
    <col min="21" max="21" width="45.5703125" style="1" customWidth="1"/>
    <col min="22" max="22" width="21.140625" style="1" customWidth="1"/>
    <col min="23" max="23" width="54.28515625" style="1" customWidth="1"/>
    <col min="24" max="24" width="58" style="1" customWidth="1"/>
    <col min="25" max="25" width="42.42578125" style="1" customWidth="1"/>
    <col min="26" max="26" width="58.7109375" style="1" customWidth="1"/>
    <col min="27" max="27" width="43.85546875" style="1" customWidth="1"/>
    <col min="28" max="28" width="57" style="1" customWidth="1"/>
    <col min="29" max="29" width="58" style="1" customWidth="1"/>
    <col min="30" max="30" width="42.28515625" customWidth="1"/>
    <col min="31" max="31" width="28.42578125" customWidth="1"/>
    <col min="32" max="32" width="41" customWidth="1"/>
    <col min="33" max="33" width="37.28515625" customWidth="1"/>
    <col min="34" max="34" width="26.42578125" customWidth="1"/>
    <col min="35" max="35" width="29" customWidth="1"/>
    <col min="36" max="36" width="15.28515625" customWidth="1"/>
    <col min="37" max="37" width="21" customWidth="1"/>
    <col min="38" max="38" width="26.42578125" customWidth="1"/>
    <col min="39" max="39" width="27.42578125" customWidth="1"/>
    <col min="40" max="40" width="41.7109375" customWidth="1"/>
    <col min="41" max="41" width="22.5703125" customWidth="1"/>
  </cols>
  <sheetData>
    <row r="1" spans="1:41" ht="49.5" customHeight="1" x14ac:dyDescent="0.25">
      <c r="A1" s="123" t="s">
        <v>1339</v>
      </c>
      <c r="B1" s="1" t="s">
        <v>957</v>
      </c>
      <c r="C1" s="1" t="s">
        <v>958</v>
      </c>
      <c r="D1" s="1" t="s">
        <v>963</v>
      </c>
      <c r="E1" s="1" t="s">
        <v>964</v>
      </c>
      <c r="F1" s="1" t="s">
        <v>966</v>
      </c>
      <c r="G1" s="1" t="s">
        <v>965</v>
      </c>
      <c r="H1" s="1" t="s">
        <v>982</v>
      </c>
      <c r="I1" s="1" t="s">
        <v>984</v>
      </c>
      <c r="J1" s="1" t="s">
        <v>1042</v>
      </c>
      <c r="K1" s="1" t="s">
        <v>993</v>
      </c>
      <c r="L1" s="1" t="s">
        <v>1277</v>
      </c>
      <c r="M1" s="1" t="s">
        <v>1278</v>
      </c>
      <c r="N1" s="1" t="s">
        <v>1049</v>
      </c>
      <c r="O1" s="1" t="s">
        <v>1050</v>
      </c>
      <c r="P1" s="1" t="s">
        <v>1032</v>
      </c>
      <c r="Q1" s="1" t="s">
        <v>994</v>
      </c>
      <c r="R1" s="1" t="s">
        <v>995</v>
      </c>
      <c r="S1" s="1" t="s">
        <v>1024</v>
      </c>
      <c r="T1" s="1" t="s">
        <v>997</v>
      </c>
      <c r="U1" s="1" t="s">
        <v>998</v>
      </c>
      <c r="V1" s="1" t="s">
        <v>1007</v>
      </c>
      <c r="W1" s="1" t="s">
        <v>1000</v>
      </c>
      <c r="X1" s="1" t="s">
        <v>1003</v>
      </c>
      <c r="Y1" s="1" t="s">
        <v>1005</v>
      </c>
      <c r="Z1" s="1" t="s">
        <v>1006</v>
      </c>
      <c r="AA1" s="1" t="s">
        <v>1011</v>
      </c>
      <c r="AB1" s="1" t="s">
        <v>1012</v>
      </c>
      <c r="AC1" s="1" t="s">
        <v>1306</v>
      </c>
      <c r="AD1" s="1" t="s">
        <v>1013</v>
      </c>
      <c r="AE1" s="1" t="s">
        <v>1016</v>
      </c>
      <c r="AF1" s="1" t="s">
        <v>1017</v>
      </c>
      <c r="AG1" s="1" t="s">
        <v>1018</v>
      </c>
      <c r="AH1" s="1" t="s">
        <v>1020</v>
      </c>
      <c r="AI1" s="1" t="s">
        <v>1019</v>
      </c>
      <c r="AJ1" s="1" t="s">
        <v>1022</v>
      </c>
      <c r="AK1" s="1" t="s">
        <v>1023</v>
      </c>
      <c r="AL1" s="1" t="s">
        <v>1029</v>
      </c>
      <c r="AM1" s="1" t="s">
        <v>1030</v>
      </c>
      <c r="AN1" s="1" t="s">
        <v>1031</v>
      </c>
      <c r="AO1" s="1" t="s">
        <v>1040</v>
      </c>
    </row>
    <row r="3" spans="1:41" ht="60" x14ac:dyDescent="0.25">
      <c r="A3" s="123" t="s">
        <v>1014</v>
      </c>
      <c r="B3" s="1" t="s">
        <v>68</v>
      </c>
      <c r="C3" s="1" t="s">
        <v>921</v>
      </c>
      <c r="D3" s="1" t="s">
        <v>959</v>
      </c>
      <c r="E3" s="1" t="s">
        <v>61</v>
      </c>
      <c r="F3" s="1" t="s">
        <v>25</v>
      </c>
      <c r="G3" s="1" t="s">
        <v>16</v>
      </c>
      <c r="H3" s="1" t="s">
        <v>967</v>
      </c>
      <c r="I3" s="1" t="s">
        <v>1247</v>
      </c>
      <c r="J3" s="1" t="s">
        <v>1043</v>
      </c>
      <c r="K3" s="1" t="s">
        <v>985</v>
      </c>
      <c r="L3" s="1" t="s">
        <v>1014</v>
      </c>
      <c r="M3" s="1" t="s">
        <v>1283</v>
      </c>
      <c r="N3" s="32" t="s">
        <v>1299</v>
      </c>
      <c r="O3" s="1" t="s">
        <v>1051</v>
      </c>
      <c r="P3" s="1" t="s">
        <v>1034</v>
      </c>
      <c r="Q3" s="1" t="s">
        <v>29</v>
      </c>
      <c r="R3" s="1" t="s">
        <v>35</v>
      </c>
      <c r="S3" s="1" t="s">
        <v>1025</v>
      </c>
      <c r="T3" s="1" t="s">
        <v>37</v>
      </c>
      <c r="U3" s="124" t="s">
        <v>50</v>
      </c>
      <c r="V3" s="1" t="s">
        <v>1039</v>
      </c>
      <c r="W3" s="1" t="s">
        <v>1299</v>
      </c>
      <c r="X3" s="1" t="s">
        <v>1436</v>
      </c>
      <c r="Y3" s="1" t="s">
        <v>1008</v>
      </c>
      <c r="Z3" s="1" t="s">
        <v>1078</v>
      </c>
      <c r="AA3" s="1" t="s">
        <v>1082</v>
      </c>
      <c r="AB3" s="1" t="s">
        <v>1085</v>
      </c>
      <c r="AC3" s="1" t="s">
        <v>1128</v>
      </c>
      <c r="AD3" s="1" t="s">
        <v>1014</v>
      </c>
      <c r="AE3" s="1" t="s">
        <v>1089</v>
      </c>
      <c r="AF3" s="1" t="s">
        <v>1094</v>
      </c>
      <c r="AG3" s="1" t="s">
        <v>1097</v>
      </c>
      <c r="AH3" s="1" t="s">
        <v>1111</v>
      </c>
      <c r="AI3" s="1" t="s">
        <v>1101</v>
      </c>
      <c r="AJ3" s="1" t="s">
        <v>1104</v>
      </c>
      <c r="AK3" s="1" t="s">
        <v>1107</v>
      </c>
      <c r="AL3" t="s">
        <v>1113</v>
      </c>
      <c r="AM3" t="s">
        <v>1117</v>
      </c>
      <c r="AN3" t="s">
        <v>1120</v>
      </c>
      <c r="AO3" t="s">
        <v>1124</v>
      </c>
    </row>
    <row r="4" spans="1:41" ht="75" x14ac:dyDescent="0.25">
      <c r="A4" s="123" t="s">
        <v>1015</v>
      </c>
      <c r="B4" s="1" t="s">
        <v>69</v>
      </c>
      <c r="C4" s="1" t="s">
        <v>922</v>
      </c>
      <c r="D4" s="1" t="s">
        <v>959</v>
      </c>
      <c r="E4" s="1" t="s">
        <v>62</v>
      </c>
      <c r="F4" s="1" t="s">
        <v>24</v>
      </c>
      <c r="H4" s="1" t="s">
        <v>968</v>
      </c>
      <c r="I4" s="1" t="s">
        <v>973</v>
      </c>
      <c r="J4" s="1" t="s">
        <v>1021</v>
      </c>
      <c r="K4" s="1" t="s">
        <v>1045</v>
      </c>
      <c r="L4" s="1" t="s">
        <v>1015</v>
      </c>
      <c r="M4" s="1" t="s">
        <v>1281</v>
      </c>
      <c r="N4" s="32" t="s">
        <v>1064</v>
      </c>
      <c r="O4" s="1" t="s">
        <v>1052</v>
      </c>
      <c r="P4" s="1" t="s">
        <v>1035</v>
      </c>
      <c r="Q4" s="1" t="s">
        <v>30</v>
      </c>
      <c r="R4" s="1" t="s">
        <v>34</v>
      </c>
      <c r="S4" s="1" t="s">
        <v>1027</v>
      </c>
      <c r="T4" s="1" t="s">
        <v>38</v>
      </c>
      <c r="U4" s="124" t="s">
        <v>43</v>
      </c>
      <c r="V4" s="1" t="s">
        <v>1467</v>
      </c>
      <c r="W4" s="1" t="s">
        <v>28</v>
      </c>
      <c r="X4" s="1" t="s">
        <v>1002</v>
      </c>
      <c r="Y4" s="1" t="s">
        <v>1009</v>
      </c>
      <c r="Z4" s="1" t="s">
        <v>1079</v>
      </c>
      <c r="AA4" s="1" t="s">
        <v>1083</v>
      </c>
      <c r="AB4" s="1" t="s">
        <v>1086</v>
      </c>
      <c r="AC4" s="1" t="s">
        <v>1129</v>
      </c>
      <c r="AD4" s="1" t="s">
        <v>1015</v>
      </c>
      <c r="AE4" s="1" t="s">
        <v>1090</v>
      </c>
      <c r="AF4" s="1" t="s">
        <v>1095</v>
      </c>
      <c r="AG4" s="1" t="s">
        <v>1098</v>
      </c>
      <c r="AH4" s="1" t="s">
        <v>1112</v>
      </c>
      <c r="AI4" s="1" t="s">
        <v>1102</v>
      </c>
      <c r="AJ4" s="1" t="s">
        <v>1105</v>
      </c>
      <c r="AK4" s="1" t="s">
        <v>1108</v>
      </c>
      <c r="AL4" t="s">
        <v>1114</v>
      </c>
      <c r="AM4" t="s">
        <v>1118</v>
      </c>
      <c r="AN4" t="s">
        <v>1121</v>
      </c>
      <c r="AO4" t="s">
        <v>1125</v>
      </c>
    </row>
    <row r="5" spans="1:41" ht="114" customHeight="1" x14ac:dyDescent="0.25">
      <c r="A5" s="123"/>
      <c r="B5" s="1" t="s">
        <v>70</v>
      </c>
      <c r="C5" s="1" t="s">
        <v>923</v>
      </c>
      <c r="D5" s="1" t="s">
        <v>959</v>
      </c>
      <c r="E5" s="1" t="s">
        <v>51</v>
      </c>
      <c r="H5" s="1" t="s">
        <v>973</v>
      </c>
      <c r="I5" s="1" t="s">
        <v>1248</v>
      </c>
      <c r="J5" s="1" t="s">
        <v>1044</v>
      </c>
      <c r="K5" s="1" t="s">
        <v>1262</v>
      </c>
      <c r="M5" s="1" t="s">
        <v>1282</v>
      </c>
      <c r="N5" s="32" t="s">
        <v>1066</v>
      </c>
      <c r="O5" s="1" t="s">
        <v>1053</v>
      </c>
      <c r="P5" s="1" t="s">
        <v>1036</v>
      </c>
      <c r="Q5" s="1" t="s">
        <v>31</v>
      </c>
      <c r="S5" s="1" t="s">
        <v>1028</v>
      </c>
      <c r="T5" s="1" t="s">
        <v>996</v>
      </c>
      <c r="U5" s="124" t="s">
        <v>45</v>
      </c>
      <c r="V5" s="1" t="s">
        <v>1347</v>
      </c>
      <c r="W5" s="1" t="s">
        <v>33</v>
      </c>
      <c r="X5" s="126" t="s">
        <v>1449</v>
      </c>
      <c r="Y5" s="1" t="s">
        <v>1010</v>
      </c>
      <c r="Z5" s="1" t="s">
        <v>1080</v>
      </c>
      <c r="AA5" s="1" t="s">
        <v>1084</v>
      </c>
      <c r="AB5" s="1" t="s">
        <v>1087</v>
      </c>
      <c r="AC5" s="1" t="s">
        <v>1130</v>
      </c>
      <c r="AE5" s="1" t="s">
        <v>1091</v>
      </c>
      <c r="AF5" s="1" t="s">
        <v>1451</v>
      </c>
      <c r="AG5" s="1" t="s">
        <v>1099</v>
      </c>
      <c r="AI5" s="1" t="s">
        <v>1103</v>
      </c>
      <c r="AJ5" s="1" t="s">
        <v>1106</v>
      </c>
      <c r="AK5" s="1" t="s">
        <v>1109</v>
      </c>
      <c r="AL5" t="s">
        <v>1115</v>
      </c>
      <c r="AM5" t="s">
        <v>1119</v>
      </c>
      <c r="AN5" t="s">
        <v>1122</v>
      </c>
      <c r="AO5" t="s">
        <v>1126</v>
      </c>
    </row>
    <row r="6" spans="1:41" ht="94.5" customHeight="1" x14ac:dyDescent="0.25">
      <c r="B6" s="1" t="s">
        <v>71</v>
      </c>
      <c r="C6" s="1" t="s">
        <v>924</v>
      </c>
      <c r="D6" s="1" t="s">
        <v>959</v>
      </c>
      <c r="E6" s="1" t="s">
        <v>52</v>
      </c>
      <c r="H6" s="1" t="s">
        <v>977</v>
      </c>
      <c r="I6" s="1" t="s">
        <v>1249</v>
      </c>
      <c r="J6" s="1" t="s">
        <v>1045</v>
      </c>
      <c r="M6" s="1" t="s">
        <v>1286</v>
      </c>
      <c r="N6" s="32" t="s">
        <v>1345</v>
      </c>
      <c r="O6" s="1" t="s">
        <v>1054</v>
      </c>
      <c r="P6" s="1" t="s">
        <v>1462</v>
      </c>
      <c r="Q6" s="1" t="s">
        <v>32</v>
      </c>
      <c r="S6" s="1" t="s">
        <v>1026</v>
      </c>
      <c r="T6" s="1" t="s">
        <v>36</v>
      </c>
      <c r="U6" s="124" t="s">
        <v>46</v>
      </c>
      <c r="V6" s="1" t="s">
        <v>1468</v>
      </c>
      <c r="W6" s="1" t="s">
        <v>1300</v>
      </c>
      <c r="X6" s="1" t="s">
        <v>1450</v>
      </c>
      <c r="Y6" s="1" t="s">
        <v>1336</v>
      </c>
      <c r="Z6" s="1" t="s">
        <v>1081</v>
      </c>
      <c r="AA6" s="1" t="s">
        <v>1437</v>
      </c>
      <c r="AB6" s="1" t="s">
        <v>1088</v>
      </c>
      <c r="AC6" s="1" t="s">
        <v>1131</v>
      </c>
      <c r="AE6" s="1" t="s">
        <v>1092</v>
      </c>
      <c r="AF6" s="1"/>
      <c r="AG6" s="1" t="s">
        <v>1100</v>
      </c>
      <c r="AK6" s="1" t="s">
        <v>1110</v>
      </c>
      <c r="AL6" t="s">
        <v>1116</v>
      </c>
      <c r="AN6" t="s">
        <v>1123</v>
      </c>
      <c r="AO6" t="s">
        <v>1127</v>
      </c>
    </row>
    <row r="7" spans="1:41" ht="48" customHeight="1" x14ac:dyDescent="0.25">
      <c r="B7" s="1" t="s">
        <v>72</v>
      </c>
      <c r="C7" s="1" t="s">
        <v>925</v>
      </c>
      <c r="D7" s="1" t="s">
        <v>959</v>
      </c>
      <c r="E7" s="1" t="s">
        <v>63</v>
      </c>
      <c r="H7" s="1" t="s">
        <v>976</v>
      </c>
      <c r="I7" s="1" t="s">
        <v>1250</v>
      </c>
      <c r="J7" s="1" t="s">
        <v>1046</v>
      </c>
      <c r="M7" s="1" t="s">
        <v>1285</v>
      </c>
      <c r="N7" s="32" t="s">
        <v>1316</v>
      </c>
      <c r="O7" s="1" t="s">
        <v>1056</v>
      </c>
      <c r="P7" s="1" t="s">
        <v>40</v>
      </c>
      <c r="T7" s="1" t="s">
        <v>40</v>
      </c>
      <c r="U7" s="124" t="s">
        <v>44</v>
      </c>
      <c r="V7" s="1" t="s">
        <v>999</v>
      </c>
      <c r="W7" s="1" t="s">
        <v>1301</v>
      </c>
      <c r="X7" s="1" t="s">
        <v>1004</v>
      </c>
      <c r="AE7" s="1" t="s">
        <v>1093</v>
      </c>
      <c r="AF7" s="1"/>
    </row>
    <row r="8" spans="1:41" ht="51" customHeight="1" x14ac:dyDescent="0.25">
      <c r="B8" s="1" t="s">
        <v>73</v>
      </c>
      <c r="C8" s="1" t="s">
        <v>926</v>
      </c>
      <c r="D8" s="1" t="s">
        <v>959</v>
      </c>
      <c r="E8" s="1" t="s">
        <v>64</v>
      </c>
      <c r="H8" s="1" t="s">
        <v>971</v>
      </c>
      <c r="I8" s="1" t="s">
        <v>1252</v>
      </c>
      <c r="J8" s="1" t="s">
        <v>1047</v>
      </c>
      <c r="M8" s="1" t="s">
        <v>1280</v>
      </c>
      <c r="N8" s="32" t="s">
        <v>1317</v>
      </c>
      <c r="O8" s="1" t="s">
        <v>1039</v>
      </c>
      <c r="P8" s="1" t="s">
        <v>1033</v>
      </c>
      <c r="T8" s="1" t="s">
        <v>41</v>
      </c>
      <c r="U8" s="124" t="s">
        <v>42</v>
      </c>
      <c r="V8" s="1" t="s">
        <v>1461</v>
      </c>
      <c r="AF8" s="1"/>
    </row>
    <row r="9" spans="1:41" ht="30" x14ac:dyDescent="0.25">
      <c r="B9" s="1" t="s">
        <v>74</v>
      </c>
      <c r="C9" s="1" t="s">
        <v>927</v>
      </c>
      <c r="D9" s="1" t="s">
        <v>960</v>
      </c>
      <c r="E9" s="1" t="s">
        <v>65</v>
      </c>
      <c r="H9" s="1" t="s">
        <v>972</v>
      </c>
      <c r="I9" s="1" t="s">
        <v>1253</v>
      </c>
      <c r="J9" s="1" t="s">
        <v>1048</v>
      </c>
      <c r="M9" s="1" t="s">
        <v>1284</v>
      </c>
      <c r="N9" s="32" t="s">
        <v>1318</v>
      </c>
      <c r="O9" s="1" t="s">
        <v>1055</v>
      </c>
      <c r="P9" s="1" t="s">
        <v>1037</v>
      </c>
      <c r="T9" s="1" t="s">
        <v>39</v>
      </c>
      <c r="U9" s="124" t="s">
        <v>47</v>
      </c>
    </row>
    <row r="10" spans="1:41" ht="30" x14ac:dyDescent="0.25">
      <c r="B10" s="1" t="s">
        <v>75</v>
      </c>
      <c r="C10" s="1" t="s">
        <v>928</v>
      </c>
      <c r="D10" s="1" t="s">
        <v>960</v>
      </c>
      <c r="E10" s="1" t="s">
        <v>53</v>
      </c>
      <c r="H10" s="1" t="s">
        <v>975</v>
      </c>
      <c r="I10" s="1" t="s">
        <v>1251</v>
      </c>
      <c r="N10" s="32" t="s">
        <v>1319</v>
      </c>
      <c r="P10" s="1" t="s">
        <v>1038</v>
      </c>
      <c r="T10" s="1" t="s">
        <v>1337</v>
      </c>
      <c r="U10" s="124" t="s">
        <v>48</v>
      </c>
    </row>
    <row r="11" spans="1:41" ht="30" x14ac:dyDescent="0.25">
      <c r="B11" s="1" t="s">
        <v>76</v>
      </c>
      <c r="C11" s="1" t="s">
        <v>929</v>
      </c>
      <c r="D11" s="1" t="s">
        <v>960</v>
      </c>
      <c r="E11" s="1" t="s">
        <v>66</v>
      </c>
      <c r="H11" s="1" t="s">
        <v>974</v>
      </c>
      <c r="I11" s="1" t="s">
        <v>977</v>
      </c>
      <c r="J11" s="1" t="s">
        <v>986</v>
      </c>
      <c r="N11" s="32" t="s">
        <v>1320</v>
      </c>
      <c r="P11" s="1" t="s">
        <v>992</v>
      </c>
      <c r="T11" s="1" t="s">
        <v>1338</v>
      </c>
      <c r="U11" s="124" t="s">
        <v>49</v>
      </c>
    </row>
    <row r="12" spans="1:41" x14ac:dyDescent="0.25">
      <c r="B12" s="1" t="s">
        <v>77</v>
      </c>
      <c r="C12" s="1" t="s">
        <v>930</v>
      </c>
      <c r="D12" s="1" t="s">
        <v>960</v>
      </c>
      <c r="E12" s="1" t="s">
        <v>59</v>
      </c>
      <c r="H12" s="1" t="s">
        <v>970</v>
      </c>
      <c r="I12" s="1" t="s">
        <v>971</v>
      </c>
      <c r="J12" s="1" t="s">
        <v>989</v>
      </c>
      <c r="N12" s="32" t="s">
        <v>1065</v>
      </c>
      <c r="P12" s="1" t="s">
        <v>1039</v>
      </c>
      <c r="T12" s="1" t="s">
        <v>992</v>
      </c>
      <c r="U12" s="1" t="s">
        <v>992</v>
      </c>
    </row>
    <row r="13" spans="1:41" x14ac:dyDescent="0.25">
      <c r="B13" s="1" t="s">
        <v>78</v>
      </c>
      <c r="C13" s="1" t="s">
        <v>931</v>
      </c>
      <c r="D13" s="1" t="s">
        <v>960</v>
      </c>
      <c r="E13" s="1" t="s">
        <v>55</v>
      </c>
      <c r="H13" s="1" t="s">
        <v>979</v>
      </c>
      <c r="I13" s="1" t="s">
        <v>970</v>
      </c>
      <c r="J13" s="1" t="s">
        <v>990</v>
      </c>
      <c r="O13" s="1" t="s">
        <v>1344</v>
      </c>
      <c r="T13" s="1" t="s">
        <v>1039</v>
      </c>
      <c r="U13" s="1" t="s">
        <v>1039</v>
      </c>
    </row>
    <row r="14" spans="1:41" ht="30" x14ac:dyDescent="0.25">
      <c r="B14" s="1" t="s">
        <v>79</v>
      </c>
      <c r="C14" s="1" t="s">
        <v>932</v>
      </c>
      <c r="D14" s="1" t="s">
        <v>960</v>
      </c>
      <c r="E14" s="1" t="s">
        <v>54</v>
      </c>
      <c r="H14" s="1" t="s">
        <v>978</v>
      </c>
      <c r="I14" s="1" t="s">
        <v>1254</v>
      </c>
      <c r="J14" s="1" t="s">
        <v>987</v>
      </c>
    </row>
    <row r="15" spans="1:41" x14ac:dyDescent="0.25">
      <c r="B15" s="1" t="s">
        <v>80</v>
      </c>
      <c r="C15" s="1" t="s">
        <v>933</v>
      </c>
      <c r="D15" s="1" t="s">
        <v>960</v>
      </c>
      <c r="E15" s="1" t="s">
        <v>56</v>
      </c>
      <c r="H15" s="1" t="s">
        <v>969</v>
      </c>
      <c r="I15" s="1" t="s">
        <v>979</v>
      </c>
      <c r="J15" s="1" t="s">
        <v>988</v>
      </c>
    </row>
    <row r="16" spans="1:41" x14ac:dyDescent="0.25">
      <c r="B16" s="1" t="s">
        <v>81</v>
      </c>
      <c r="C16" s="1" t="s">
        <v>934</v>
      </c>
      <c r="D16" s="1" t="s">
        <v>960</v>
      </c>
      <c r="E16" s="1" t="s">
        <v>67</v>
      </c>
      <c r="H16" s="1" t="s">
        <v>980</v>
      </c>
      <c r="I16" s="1" t="s">
        <v>1392</v>
      </c>
      <c r="J16" s="1" t="s">
        <v>985</v>
      </c>
    </row>
    <row r="17" spans="2:10" x14ac:dyDescent="0.25">
      <c r="B17" s="1" t="s">
        <v>82</v>
      </c>
      <c r="C17" s="1" t="s">
        <v>935</v>
      </c>
      <c r="D17" s="1" t="s">
        <v>962</v>
      </c>
      <c r="E17" s="1" t="s">
        <v>58</v>
      </c>
      <c r="H17" s="1" t="s">
        <v>981</v>
      </c>
      <c r="I17" s="1" t="s">
        <v>978</v>
      </c>
      <c r="J17" s="1" t="s">
        <v>991</v>
      </c>
    </row>
    <row r="18" spans="2:10" x14ac:dyDescent="0.25">
      <c r="B18" s="1" t="s">
        <v>83</v>
      </c>
      <c r="C18" s="1" t="s">
        <v>936</v>
      </c>
      <c r="D18" s="1" t="s">
        <v>962</v>
      </c>
      <c r="E18" s="1" t="s">
        <v>60</v>
      </c>
      <c r="I18" s="1" t="s">
        <v>983</v>
      </c>
      <c r="J18" s="1" t="s">
        <v>992</v>
      </c>
    </row>
    <row r="19" spans="2:10" x14ac:dyDescent="0.25">
      <c r="B19" s="1" t="s">
        <v>84</v>
      </c>
      <c r="C19" s="1" t="s">
        <v>937</v>
      </c>
      <c r="D19" s="1" t="s">
        <v>962</v>
      </c>
      <c r="E19" s="1" t="s">
        <v>57</v>
      </c>
      <c r="I19" s="1" t="s">
        <v>1255</v>
      </c>
    </row>
    <row r="20" spans="2:10" x14ac:dyDescent="0.25">
      <c r="B20" s="1" t="s">
        <v>85</v>
      </c>
      <c r="C20" s="1" t="s">
        <v>938</v>
      </c>
      <c r="D20" s="1" t="s">
        <v>962</v>
      </c>
      <c r="I20" s="1" t="s">
        <v>992</v>
      </c>
    </row>
    <row r="21" spans="2:10" x14ac:dyDescent="0.25">
      <c r="B21" s="1" t="s">
        <v>86</v>
      </c>
      <c r="C21" s="1" t="s">
        <v>939</v>
      </c>
      <c r="D21" s="1" t="s">
        <v>962</v>
      </c>
    </row>
    <row r="22" spans="2:10" x14ac:dyDescent="0.25">
      <c r="B22" s="1" t="s">
        <v>87</v>
      </c>
      <c r="C22" s="1" t="s">
        <v>940</v>
      </c>
      <c r="D22" s="1" t="s">
        <v>960</v>
      </c>
    </row>
    <row r="23" spans="2:10" x14ac:dyDescent="0.25">
      <c r="B23" s="1" t="s">
        <v>88</v>
      </c>
      <c r="C23" s="1" t="s">
        <v>941</v>
      </c>
      <c r="D23" s="1" t="s">
        <v>960</v>
      </c>
    </row>
    <row r="24" spans="2:10" x14ac:dyDescent="0.25">
      <c r="B24" s="1" t="s">
        <v>89</v>
      </c>
      <c r="C24" s="1" t="s">
        <v>942</v>
      </c>
      <c r="D24" s="1" t="s">
        <v>960</v>
      </c>
    </row>
    <row r="25" spans="2:10" x14ac:dyDescent="0.25">
      <c r="B25" s="1" t="s">
        <v>90</v>
      </c>
      <c r="C25" s="1" t="s">
        <v>943</v>
      </c>
      <c r="D25" s="1" t="s">
        <v>960</v>
      </c>
    </row>
    <row r="26" spans="2:10" x14ac:dyDescent="0.25">
      <c r="B26" s="1" t="s">
        <v>91</v>
      </c>
      <c r="C26" s="1" t="s">
        <v>944</v>
      </c>
      <c r="D26" s="1" t="s">
        <v>960</v>
      </c>
    </row>
    <row r="27" spans="2:10" x14ac:dyDescent="0.25">
      <c r="B27" s="1" t="s">
        <v>92</v>
      </c>
      <c r="C27" s="1" t="s">
        <v>945</v>
      </c>
      <c r="D27" s="1" t="s">
        <v>960</v>
      </c>
    </row>
    <row r="28" spans="2:10" x14ac:dyDescent="0.25">
      <c r="B28" s="1" t="s">
        <v>93</v>
      </c>
      <c r="C28" s="1" t="s">
        <v>946</v>
      </c>
      <c r="D28" s="1" t="s">
        <v>961</v>
      </c>
    </row>
    <row r="29" spans="2:10" x14ac:dyDescent="0.25">
      <c r="B29" s="1" t="s">
        <v>94</v>
      </c>
      <c r="C29" s="1" t="s">
        <v>947</v>
      </c>
      <c r="D29" s="1" t="s">
        <v>961</v>
      </c>
    </row>
    <row r="30" spans="2:10" x14ac:dyDescent="0.25">
      <c r="B30" s="1" t="s">
        <v>95</v>
      </c>
      <c r="C30" s="1" t="s">
        <v>948</v>
      </c>
      <c r="D30" s="1" t="s">
        <v>961</v>
      </c>
    </row>
    <row r="31" spans="2:10" x14ac:dyDescent="0.25">
      <c r="B31" s="1" t="s">
        <v>96</v>
      </c>
      <c r="C31" s="1" t="s">
        <v>949</v>
      </c>
      <c r="D31" s="1" t="s">
        <v>961</v>
      </c>
    </row>
    <row r="32" spans="2:10" x14ac:dyDescent="0.25">
      <c r="B32" s="1" t="s">
        <v>97</v>
      </c>
      <c r="C32" s="1" t="s">
        <v>950</v>
      </c>
      <c r="D32" s="1" t="s">
        <v>961</v>
      </c>
    </row>
    <row r="33" spans="2:4" x14ac:dyDescent="0.25">
      <c r="B33" s="1" t="s">
        <v>98</v>
      </c>
      <c r="C33" s="1" t="s">
        <v>951</v>
      </c>
      <c r="D33" s="1" t="s">
        <v>961</v>
      </c>
    </row>
    <row r="34" spans="2:4" x14ac:dyDescent="0.25">
      <c r="B34" s="1" t="s">
        <v>99</v>
      </c>
      <c r="C34" s="1" t="s">
        <v>952</v>
      </c>
      <c r="D34" s="1" t="s">
        <v>961</v>
      </c>
    </row>
    <row r="35" spans="2:4" x14ac:dyDescent="0.25">
      <c r="B35" s="1" t="s">
        <v>100</v>
      </c>
      <c r="C35" s="1" t="s">
        <v>953</v>
      </c>
      <c r="D35" s="1" t="s">
        <v>961</v>
      </c>
    </row>
    <row r="36" spans="2:4" ht="30" x14ac:dyDescent="0.25">
      <c r="B36" s="1" t="s">
        <v>101</v>
      </c>
      <c r="C36" s="1" t="s">
        <v>954</v>
      </c>
      <c r="D36" s="1" t="s">
        <v>961</v>
      </c>
    </row>
    <row r="37" spans="2:4" x14ac:dyDescent="0.25">
      <c r="B37" s="1" t="s">
        <v>102</v>
      </c>
      <c r="C37" s="1" t="s">
        <v>955</v>
      </c>
      <c r="D37" s="1" t="s">
        <v>961</v>
      </c>
    </row>
    <row r="38" spans="2:4" x14ac:dyDescent="0.25">
      <c r="B38" s="1" t="s">
        <v>103</v>
      </c>
      <c r="C38" s="1" t="s">
        <v>956</v>
      </c>
      <c r="D38" s="1" t="s">
        <v>962</v>
      </c>
    </row>
    <row r="39" spans="2:4" x14ac:dyDescent="0.25">
      <c r="B39" s="1" t="s">
        <v>104</v>
      </c>
    </row>
    <row r="40" spans="2:4" x14ac:dyDescent="0.25">
      <c r="B40" s="1" t="s">
        <v>105</v>
      </c>
    </row>
    <row r="41" spans="2:4" x14ac:dyDescent="0.25">
      <c r="B41" s="1" t="s">
        <v>106</v>
      </c>
    </row>
    <row r="42" spans="2:4" x14ac:dyDescent="0.25">
      <c r="B42" s="1" t="s">
        <v>107</v>
      </c>
    </row>
    <row r="43" spans="2:4" x14ac:dyDescent="0.25">
      <c r="B43" s="1" t="s">
        <v>108</v>
      </c>
    </row>
    <row r="44" spans="2:4" x14ac:dyDescent="0.25">
      <c r="B44" s="1" t="s">
        <v>109</v>
      </c>
    </row>
    <row r="45" spans="2:4" x14ac:dyDescent="0.25">
      <c r="B45" s="1" t="s">
        <v>110</v>
      </c>
    </row>
    <row r="46" spans="2:4" x14ac:dyDescent="0.25">
      <c r="B46" s="1" t="s">
        <v>111</v>
      </c>
    </row>
    <row r="47" spans="2:4" x14ac:dyDescent="0.25">
      <c r="B47" s="1" t="s">
        <v>112</v>
      </c>
    </row>
    <row r="48" spans="2:4" x14ac:dyDescent="0.25">
      <c r="B48" s="1" t="s">
        <v>113</v>
      </c>
    </row>
    <row r="49" spans="2:2" x14ac:dyDescent="0.25">
      <c r="B49" s="1" t="s">
        <v>114</v>
      </c>
    </row>
    <row r="50" spans="2:2" x14ac:dyDescent="0.25">
      <c r="B50" s="1" t="s">
        <v>115</v>
      </c>
    </row>
    <row r="51" spans="2:2" x14ac:dyDescent="0.25">
      <c r="B51" s="1" t="s">
        <v>116</v>
      </c>
    </row>
    <row r="52" spans="2:2" x14ac:dyDescent="0.25">
      <c r="B52" s="1" t="s">
        <v>117</v>
      </c>
    </row>
    <row r="53" spans="2:2" x14ac:dyDescent="0.25">
      <c r="B53" s="1" t="s">
        <v>118</v>
      </c>
    </row>
    <row r="54" spans="2:2" x14ac:dyDescent="0.25">
      <c r="B54" s="1" t="s">
        <v>119</v>
      </c>
    </row>
    <row r="55" spans="2:2" x14ac:dyDescent="0.25">
      <c r="B55" s="1" t="s">
        <v>120</v>
      </c>
    </row>
    <row r="56" spans="2:2" x14ac:dyDescent="0.25">
      <c r="B56" s="1" t="s">
        <v>121</v>
      </c>
    </row>
    <row r="57" spans="2:2" x14ac:dyDescent="0.25">
      <c r="B57" s="1" t="s">
        <v>122</v>
      </c>
    </row>
    <row r="58" spans="2:2" x14ac:dyDescent="0.25">
      <c r="B58" s="1" t="s">
        <v>123</v>
      </c>
    </row>
    <row r="59" spans="2:2" x14ac:dyDescent="0.25">
      <c r="B59" s="1" t="s">
        <v>125</v>
      </c>
    </row>
    <row r="60" spans="2:2" x14ac:dyDescent="0.25">
      <c r="B60" s="1" t="s">
        <v>124</v>
      </c>
    </row>
    <row r="61" spans="2:2" x14ac:dyDescent="0.25">
      <c r="B61" s="1" t="s">
        <v>126</v>
      </c>
    </row>
    <row r="62" spans="2:2" x14ac:dyDescent="0.25">
      <c r="B62" s="1" t="s">
        <v>127</v>
      </c>
    </row>
    <row r="63" spans="2:2" x14ac:dyDescent="0.25">
      <c r="B63" s="1" t="s">
        <v>128</v>
      </c>
    </row>
    <row r="64" spans="2:2" x14ac:dyDescent="0.25">
      <c r="B64" s="1" t="s">
        <v>129</v>
      </c>
    </row>
    <row r="65" spans="2:2" x14ac:dyDescent="0.25">
      <c r="B65" s="1" t="s">
        <v>130</v>
      </c>
    </row>
    <row r="66" spans="2:2" x14ac:dyDescent="0.25">
      <c r="B66" s="1" t="s">
        <v>131</v>
      </c>
    </row>
    <row r="67" spans="2:2" x14ac:dyDescent="0.25">
      <c r="B67" s="1" t="s">
        <v>132</v>
      </c>
    </row>
    <row r="68" spans="2:2" x14ac:dyDescent="0.25">
      <c r="B68" s="1" t="s">
        <v>133</v>
      </c>
    </row>
    <row r="69" spans="2:2" x14ac:dyDescent="0.25">
      <c r="B69" s="1" t="s">
        <v>134</v>
      </c>
    </row>
    <row r="70" spans="2:2" x14ac:dyDescent="0.25">
      <c r="B70" s="1" t="s">
        <v>135</v>
      </c>
    </row>
    <row r="71" spans="2:2" x14ac:dyDescent="0.25">
      <c r="B71" s="1" t="s">
        <v>136</v>
      </c>
    </row>
    <row r="72" spans="2:2" x14ac:dyDescent="0.25">
      <c r="B72" s="1" t="s">
        <v>137</v>
      </c>
    </row>
    <row r="73" spans="2:2" x14ac:dyDescent="0.25">
      <c r="B73" s="1" t="s">
        <v>138</v>
      </c>
    </row>
    <row r="74" spans="2:2" x14ac:dyDescent="0.25">
      <c r="B74" s="1" t="s">
        <v>139</v>
      </c>
    </row>
    <row r="75" spans="2:2" x14ac:dyDescent="0.25">
      <c r="B75" s="1" t="s">
        <v>140</v>
      </c>
    </row>
    <row r="76" spans="2:2" x14ac:dyDescent="0.25">
      <c r="B76" s="1" t="s">
        <v>141</v>
      </c>
    </row>
    <row r="77" spans="2:2" x14ac:dyDescent="0.25">
      <c r="B77" s="1" t="s">
        <v>142</v>
      </c>
    </row>
    <row r="78" spans="2:2" x14ac:dyDescent="0.25">
      <c r="B78" s="1" t="s">
        <v>143</v>
      </c>
    </row>
    <row r="79" spans="2:2" x14ac:dyDescent="0.25">
      <c r="B79" s="1" t="s">
        <v>144</v>
      </c>
    </row>
    <row r="80" spans="2:2" x14ac:dyDescent="0.25">
      <c r="B80" s="1" t="s">
        <v>145</v>
      </c>
    </row>
    <row r="81" spans="2:2" x14ac:dyDescent="0.25">
      <c r="B81" s="1" t="s">
        <v>146</v>
      </c>
    </row>
    <row r="82" spans="2:2" x14ac:dyDescent="0.25">
      <c r="B82" s="1" t="s">
        <v>147</v>
      </c>
    </row>
    <row r="83" spans="2:2" x14ac:dyDescent="0.25">
      <c r="B83" s="1" t="s">
        <v>148</v>
      </c>
    </row>
    <row r="84" spans="2:2" x14ac:dyDescent="0.25">
      <c r="B84" s="1" t="s">
        <v>149</v>
      </c>
    </row>
    <row r="85" spans="2:2" x14ac:dyDescent="0.25">
      <c r="B85" s="1" t="s">
        <v>150</v>
      </c>
    </row>
    <row r="86" spans="2:2" x14ac:dyDescent="0.25">
      <c r="B86" s="1" t="s">
        <v>151</v>
      </c>
    </row>
    <row r="87" spans="2:2" x14ac:dyDescent="0.25">
      <c r="B87" s="1" t="s">
        <v>152</v>
      </c>
    </row>
    <row r="88" spans="2:2" x14ac:dyDescent="0.25">
      <c r="B88" s="1" t="s">
        <v>153</v>
      </c>
    </row>
    <row r="89" spans="2:2" ht="30" x14ac:dyDescent="0.25">
      <c r="B89" s="1" t="s">
        <v>154</v>
      </c>
    </row>
    <row r="90" spans="2:2" x14ac:dyDescent="0.25">
      <c r="B90" s="1" t="s">
        <v>155</v>
      </c>
    </row>
    <row r="91" spans="2:2" x14ac:dyDescent="0.25">
      <c r="B91" s="1" t="s">
        <v>156</v>
      </c>
    </row>
    <row r="92" spans="2:2" x14ac:dyDescent="0.25">
      <c r="B92" s="1" t="s">
        <v>157</v>
      </c>
    </row>
    <row r="93" spans="2:2" x14ac:dyDescent="0.25">
      <c r="B93" s="1" t="s">
        <v>158</v>
      </c>
    </row>
    <row r="94" spans="2:2" x14ac:dyDescent="0.25">
      <c r="B94" s="1" t="s">
        <v>159</v>
      </c>
    </row>
    <row r="95" spans="2:2" x14ac:dyDescent="0.25">
      <c r="B95" s="1" t="s">
        <v>160</v>
      </c>
    </row>
    <row r="96" spans="2:2" x14ac:dyDescent="0.25">
      <c r="B96" s="1" t="s">
        <v>161</v>
      </c>
    </row>
    <row r="97" spans="2:2" x14ac:dyDescent="0.25">
      <c r="B97" s="1" t="s">
        <v>162</v>
      </c>
    </row>
    <row r="98" spans="2:2" x14ac:dyDescent="0.25">
      <c r="B98" s="1" t="s">
        <v>163</v>
      </c>
    </row>
    <row r="99" spans="2:2" x14ac:dyDescent="0.25">
      <c r="B99" s="1" t="s">
        <v>164</v>
      </c>
    </row>
    <row r="100" spans="2:2" x14ac:dyDescent="0.25">
      <c r="B100" s="1" t="s">
        <v>165</v>
      </c>
    </row>
    <row r="101" spans="2:2" x14ac:dyDescent="0.25">
      <c r="B101" s="1" t="s">
        <v>166</v>
      </c>
    </row>
    <row r="102" spans="2:2" x14ac:dyDescent="0.25">
      <c r="B102" s="1" t="s">
        <v>167</v>
      </c>
    </row>
    <row r="103" spans="2:2" x14ac:dyDescent="0.25">
      <c r="B103" s="1" t="s">
        <v>168</v>
      </c>
    </row>
    <row r="104" spans="2:2" x14ac:dyDescent="0.25">
      <c r="B104" s="1" t="s">
        <v>169</v>
      </c>
    </row>
    <row r="105" spans="2:2" x14ac:dyDescent="0.25">
      <c r="B105" s="1" t="s">
        <v>170</v>
      </c>
    </row>
    <row r="106" spans="2:2" x14ac:dyDescent="0.25">
      <c r="B106" s="1" t="s">
        <v>171</v>
      </c>
    </row>
    <row r="107" spans="2:2" x14ac:dyDescent="0.25">
      <c r="B107" s="1" t="s">
        <v>172</v>
      </c>
    </row>
    <row r="108" spans="2:2" x14ac:dyDescent="0.25">
      <c r="B108" s="1" t="s">
        <v>173</v>
      </c>
    </row>
    <row r="109" spans="2:2" x14ac:dyDescent="0.25">
      <c r="B109" s="1" t="s">
        <v>174</v>
      </c>
    </row>
    <row r="110" spans="2:2" x14ac:dyDescent="0.25">
      <c r="B110" s="1" t="s">
        <v>175</v>
      </c>
    </row>
    <row r="111" spans="2:2" x14ac:dyDescent="0.25">
      <c r="B111" s="1" t="s">
        <v>176</v>
      </c>
    </row>
    <row r="112" spans="2:2" x14ac:dyDescent="0.25">
      <c r="B112" s="1" t="s">
        <v>177</v>
      </c>
    </row>
    <row r="113" spans="2:2" x14ac:dyDescent="0.25">
      <c r="B113" s="1" t="s">
        <v>178</v>
      </c>
    </row>
    <row r="114" spans="2:2" x14ac:dyDescent="0.25">
      <c r="B114" s="1" t="s">
        <v>179</v>
      </c>
    </row>
    <row r="115" spans="2:2" x14ac:dyDescent="0.25">
      <c r="B115" s="1" t="s">
        <v>180</v>
      </c>
    </row>
    <row r="116" spans="2:2" x14ac:dyDescent="0.25">
      <c r="B116" s="1" t="s">
        <v>181</v>
      </c>
    </row>
    <row r="117" spans="2:2" x14ac:dyDescent="0.25">
      <c r="B117" s="1" t="s">
        <v>182</v>
      </c>
    </row>
    <row r="118" spans="2:2" x14ac:dyDescent="0.25">
      <c r="B118" s="1" t="s">
        <v>183</v>
      </c>
    </row>
    <row r="119" spans="2:2" x14ac:dyDescent="0.25">
      <c r="B119" s="1" t="s">
        <v>184</v>
      </c>
    </row>
    <row r="120" spans="2:2" x14ac:dyDescent="0.25">
      <c r="B120" s="1" t="s">
        <v>185</v>
      </c>
    </row>
    <row r="121" spans="2:2" x14ac:dyDescent="0.25">
      <c r="B121" s="1" t="s">
        <v>186</v>
      </c>
    </row>
    <row r="122" spans="2:2" x14ac:dyDescent="0.25">
      <c r="B122" s="1" t="s">
        <v>187</v>
      </c>
    </row>
    <row r="123" spans="2:2" x14ac:dyDescent="0.25">
      <c r="B123" s="1" t="s">
        <v>188</v>
      </c>
    </row>
    <row r="124" spans="2:2" x14ac:dyDescent="0.25">
      <c r="B124" s="1" t="s">
        <v>189</v>
      </c>
    </row>
    <row r="125" spans="2:2" x14ac:dyDescent="0.25">
      <c r="B125" s="1" t="s">
        <v>190</v>
      </c>
    </row>
    <row r="126" spans="2:2" x14ac:dyDescent="0.25">
      <c r="B126" s="1" t="s">
        <v>191</v>
      </c>
    </row>
    <row r="127" spans="2:2" x14ac:dyDescent="0.25">
      <c r="B127" s="1" t="s">
        <v>192</v>
      </c>
    </row>
    <row r="128" spans="2:2" x14ac:dyDescent="0.25">
      <c r="B128" s="1" t="s">
        <v>193</v>
      </c>
    </row>
    <row r="129" spans="2:2" x14ac:dyDescent="0.25">
      <c r="B129" s="1" t="s">
        <v>194</v>
      </c>
    </row>
    <row r="130" spans="2:2" x14ac:dyDescent="0.25">
      <c r="B130" s="1" t="s">
        <v>195</v>
      </c>
    </row>
    <row r="131" spans="2:2" x14ac:dyDescent="0.25">
      <c r="B131" s="1" t="s">
        <v>196</v>
      </c>
    </row>
    <row r="132" spans="2:2" x14ac:dyDescent="0.25">
      <c r="B132" s="1" t="s">
        <v>197</v>
      </c>
    </row>
    <row r="133" spans="2:2" x14ac:dyDescent="0.25">
      <c r="B133" s="1" t="s">
        <v>198</v>
      </c>
    </row>
    <row r="134" spans="2:2" x14ac:dyDescent="0.25">
      <c r="B134" s="1" t="s">
        <v>199</v>
      </c>
    </row>
    <row r="135" spans="2:2" x14ac:dyDescent="0.25">
      <c r="B135" s="1" t="s">
        <v>200</v>
      </c>
    </row>
    <row r="136" spans="2:2" x14ac:dyDescent="0.25">
      <c r="B136" s="1" t="s">
        <v>201</v>
      </c>
    </row>
    <row r="137" spans="2:2" x14ac:dyDescent="0.25">
      <c r="B137" s="1" t="s">
        <v>202</v>
      </c>
    </row>
    <row r="138" spans="2:2" x14ac:dyDescent="0.25">
      <c r="B138" s="1" t="s">
        <v>203</v>
      </c>
    </row>
    <row r="139" spans="2:2" x14ac:dyDescent="0.25">
      <c r="B139" s="1" t="s">
        <v>204</v>
      </c>
    </row>
    <row r="140" spans="2:2" x14ac:dyDescent="0.25">
      <c r="B140" s="1" t="s">
        <v>205</v>
      </c>
    </row>
    <row r="141" spans="2:2" x14ac:dyDescent="0.25">
      <c r="B141" s="1" t="s">
        <v>206</v>
      </c>
    </row>
    <row r="142" spans="2:2" x14ac:dyDescent="0.25">
      <c r="B142" s="1" t="s">
        <v>207</v>
      </c>
    </row>
    <row r="143" spans="2:2" x14ac:dyDescent="0.25">
      <c r="B143" s="1" t="s">
        <v>208</v>
      </c>
    </row>
    <row r="144" spans="2:2" x14ac:dyDescent="0.25">
      <c r="B144" s="1" t="s">
        <v>209</v>
      </c>
    </row>
    <row r="145" spans="2:2" x14ac:dyDescent="0.25">
      <c r="B145" s="1" t="s">
        <v>210</v>
      </c>
    </row>
    <row r="146" spans="2:2" x14ac:dyDescent="0.25">
      <c r="B146" s="1" t="s">
        <v>211</v>
      </c>
    </row>
    <row r="147" spans="2:2" x14ac:dyDescent="0.25">
      <c r="B147" s="1" t="s">
        <v>212</v>
      </c>
    </row>
    <row r="148" spans="2:2" x14ac:dyDescent="0.25">
      <c r="B148" s="1" t="s">
        <v>213</v>
      </c>
    </row>
    <row r="149" spans="2:2" x14ac:dyDescent="0.25">
      <c r="B149" s="1" t="s">
        <v>214</v>
      </c>
    </row>
    <row r="150" spans="2:2" x14ac:dyDescent="0.25">
      <c r="B150" s="1" t="s">
        <v>215</v>
      </c>
    </row>
    <row r="151" spans="2:2" x14ac:dyDescent="0.25">
      <c r="B151" s="1" t="s">
        <v>216</v>
      </c>
    </row>
    <row r="152" spans="2:2" x14ac:dyDescent="0.25">
      <c r="B152" s="1" t="s">
        <v>217</v>
      </c>
    </row>
    <row r="153" spans="2:2" x14ac:dyDescent="0.25">
      <c r="B153" s="1" t="s">
        <v>218</v>
      </c>
    </row>
    <row r="154" spans="2:2" x14ac:dyDescent="0.25">
      <c r="B154" s="1" t="s">
        <v>219</v>
      </c>
    </row>
    <row r="155" spans="2:2" x14ac:dyDescent="0.25">
      <c r="B155" s="1" t="s">
        <v>220</v>
      </c>
    </row>
    <row r="156" spans="2:2" x14ac:dyDescent="0.25">
      <c r="B156" s="1" t="s">
        <v>221</v>
      </c>
    </row>
    <row r="157" spans="2:2" x14ac:dyDescent="0.25">
      <c r="B157" s="1" t="s">
        <v>222</v>
      </c>
    </row>
    <row r="158" spans="2:2" x14ac:dyDescent="0.25">
      <c r="B158" s="1" t="s">
        <v>223</v>
      </c>
    </row>
    <row r="159" spans="2:2" x14ac:dyDescent="0.25">
      <c r="B159" s="1" t="s">
        <v>224</v>
      </c>
    </row>
    <row r="160" spans="2:2" x14ac:dyDescent="0.25">
      <c r="B160" s="1" t="s">
        <v>225</v>
      </c>
    </row>
    <row r="161" spans="2:2" x14ac:dyDescent="0.25">
      <c r="B161" s="1" t="s">
        <v>226</v>
      </c>
    </row>
    <row r="162" spans="2:2" x14ac:dyDescent="0.25">
      <c r="B162" s="1" t="s">
        <v>227</v>
      </c>
    </row>
    <row r="163" spans="2:2" x14ac:dyDescent="0.25">
      <c r="B163" s="1" t="s">
        <v>228</v>
      </c>
    </row>
    <row r="164" spans="2:2" x14ac:dyDescent="0.25">
      <c r="B164" s="1" t="s">
        <v>229</v>
      </c>
    </row>
    <row r="165" spans="2:2" x14ac:dyDescent="0.25">
      <c r="B165" s="1" t="s">
        <v>230</v>
      </c>
    </row>
    <row r="166" spans="2:2" x14ac:dyDescent="0.25">
      <c r="B166" s="1" t="s">
        <v>231</v>
      </c>
    </row>
    <row r="167" spans="2:2" x14ac:dyDescent="0.25">
      <c r="B167" s="1" t="s">
        <v>232</v>
      </c>
    </row>
    <row r="168" spans="2:2" x14ac:dyDescent="0.25">
      <c r="B168" s="1" t="s">
        <v>233</v>
      </c>
    </row>
    <row r="169" spans="2:2" ht="30" x14ac:dyDescent="0.25">
      <c r="B169" s="1" t="s">
        <v>235</v>
      </c>
    </row>
    <row r="170" spans="2:2" x14ac:dyDescent="0.25">
      <c r="B170" s="1" t="s">
        <v>234</v>
      </c>
    </row>
    <row r="171" spans="2:2" x14ac:dyDescent="0.25">
      <c r="B171" s="1" t="s">
        <v>236</v>
      </c>
    </row>
    <row r="172" spans="2:2" x14ac:dyDescent="0.25">
      <c r="B172" s="1" t="s">
        <v>237</v>
      </c>
    </row>
    <row r="173" spans="2:2" x14ac:dyDescent="0.25">
      <c r="B173" s="1" t="s">
        <v>238</v>
      </c>
    </row>
    <row r="174" spans="2:2" x14ac:dyDescent="0.25">
      <c r="B174" s="1" t="s">
        <v>239</v>
      </c>
    </row>
    <row r="175" spans="2:2" x14ac:dyDescent="0.25">
      <c r="B175" s="1" t="s">
        <v>240</v>
      </c>
    </row>
    <row r="176" spans="2:2" x14ac:dyDescent="0.25">
      <c r="B176" s="1" t="s">
        <v>241</v>
      </c>
    </row>
    <row r="177" spans="2:2" x14ac:dyDescent="0.25">
      <c r="B177" s="1" t="s">
        <v>242</v>
      </c>
    </row>
    <row r="178" spans="2:2" x14ac:dyDescent="0.25">
      <c r="B178" s="1" t="s">
        <v>243</v>
      </c>
    </row>
    <row r="179" spans="2:2" x14ac:dyDescent="0.25">
      <c r="B179" s="1" t="s">
        <v>244</v>
      </c>
    </row>
    <row r="180" spans="2:2" x14ac:dyDescent="0.25">
      <c r="B180" s="1" t="s">
        <v>245</v>
      </c>
    </row>
    <row r="181" spans="2:2" x14ac:dyDescent="0.25">
      <c r="B181" s="1" t="s">
        <v>246</v>
      </c>
    </row>
    <row r="182" spans="2:2" x14ac:dyDescent="0.25">
      <c r="B182" s="1" t="s">
        <v>247</v>
      </c>
    </row>
    <row r="183" spans="2:2" x14ac:dyDescent="0.25">
      <c r="B183" s="1" t="s">
        <v>248</v>
      </c>
    </row>
    <row r="184" spans="2:2" x14ac:dyDescent="0.25">
      <c r="B184" s="1" t="s">
        <v>249</v>
      </c>
    </row>
    <row r="185" spans="2:2" x14ac:dyDescent="0.25">
      <c r="B185" s="1" t="s">
        <v>250</v>
      </c>
    </row>
    <row r="186" spans="2:2" x14ac:dyDescent="0.25">
      <c r="B186" s="1" t="s">
        <v>251</v>
      </c>
    </row>
    <row r="187" spans="2:2" x14ac:dyDescent="0.25">
      <c r="B187" s="1" t="s">
        <v>252</v>
      </c>
    </row>
    <row r="188" spans="2:2" x14ac:dyDescent="0.25">
      <c r="B188" s="1" t="s">
        <v>253</v>
      </c>
    </row>
    <row r="189" spans="2:2" x14ac:dyDescent="0.25">
      <c r="B189" s="1" t="s">
        <v>254</v>
      </c>
    </row>
    <row r="190" spans="2:2" ht="30" x14ac:dyDescent="0.25">
      <c r="B190" s="1" t="s">
        <v>255</v>
      </c>
    </row>
    <row r="191" spans="2:2" ht="30" x14ac:dyDescent="0.25">
      <c r="B191" s="1" t="s">
        <v>256</v>
      </c>
    </row>
    <row r="192" spans="2:2" ht="30" x14ac:dyDescent="0.25">
      <c r="B192" s="1" t="s">
        <v>257</v>
      </c>
    </row>
    <row r="193" spans="2:2" x14ac:dyDescent="0.25">
      <c r="B193" s="1" t="s">
        <v>258</v>
      </c>
    </row>
    <row r="194" spans="2:2" x14ac:dyDescent="0.25">
      <c r="B194" s="1" t="s">
        <v>259</v>
      </c>
    </row>
    <row r="195" spans="2:2" ht="30" x14ac:dyDescent="0.25">
      <c r="B195" s="1" t="s">
        <v>260</v>
      </c>
    </row>
    <row r="196" spans="2:2" x14ac:dyDescent="0.25">
      <c r="B196" s="1" t="s">
        <v>261</v>
      </c>
    </row>
    <row r="197" spans="2:2" ht="30" x14ac:dyDescent="0.25">
      <c r="B197" s="1" t="s">
        <v>262</v>
      </c>
    </row>
    <row r="198" spans="2:2" x14ac:dyDescent="0.25">
      <c r="B198" s="1" t="s">
        <v>263</v>
      </c>
    </row>
    <row r="199" spans="2:2" x14ac:dyDescent="0.25">
      <c r="B199" s="1" t="s">
        <v>264</v>
      </c>
    </row>
    <row r="200" spans="2:2" x14ac:dyDescent="0.25">
      <c r="B200" s="1" t="s">
        <v>265</v>
      </c>
    </row>
    <row r="201" spans="2:2" x14ac:dyDescent="0.25">
      <c r="B201" s="1" t="s">
        <v>266</v>
      </c>
    </row>
    <row r="202" spans="2:2" x14ac:dyDescent="0.25">
      <c r="B202" s="1" t="s">
        <v>268</v>
      </c>
    </row>
    <row r="203" spans="2:2" x14ac:dyDescent="0.25">
      <c r="B203" s="1" t="s">
        <v>267</v>
      </c>
    </row>
    <row r="204" spans="2:2" x14ac:dyDescent="0.25">
      <c r="B204" s="1" t="s">
        <v>269</v>
      </c>
    </row>
    <row r="205" spans="2:2" x14ac:dyDescent="0.25">
      <c r="B205" s="1" t="s">
        <v>270</v>
      </c>
    </row>
    <row r="206" spans="2:2" x14ac:dyDescent="0.25">
      <c r="B206" s="1" t="s">
        <v>271</v>
      </c>
    </row>
    <row r="207" spans="2:2" x14ac:dyDescent="0.25">
      <c r="B207" s="1" t="s">
        <v>272</v>
      </c>
    </row>
    <row r="208" spans="2:2" x14ac:dyDescent="0.25">
      <c r="B208" s="1" t="s">
        <v>273</v>
      </c>
    </row>
    <row r="209" spans="2:2" x14ac:dyDescent="0.25">
      <c r="B209" s="1" t="s">
        <v>274</v>
      </c>
    </row>
    <row r="210" spans="2:2" x14ac:dyDescent="0.25">
      <c r="B210" s="1" t="s">
        <v>275</v>
      </c>
    </row>
    <row r="211" spans="2:2" x14ac:dyDescent="0.25">
      <c r="B211" s="1" t="s">
        <v>276</v>
      </c>
    </row>
    <row r="212" spans="2:2" x14ac:dyDescent="0.25">
      <c r="B212" s="1" t="s">
        <v>277</v>
      </c>
    </row>
    <row r="213" spans="2:2" x14ac:dyDescent="0.25">
      <c r="B213" s="1" t="s">
        <v>278</v>
      </c>
    </row>
    <row r="214" spans="2:2" x14ac:dyDescent="0.25">
      <c r="B214" s="1" t="s">
        <v>279</v>
      </c>
    </row>
    <row r="215" spans="2:2" x14ac:dyDescent="0.25">
      <c r="B215" s="1" t="s">
        <v>280</v>
      </c>
    </row>
    <row r="216" spans="2:2" x14ac:dyDescent="0.25">
      <c r="B216" s="1" t="s">
        <v>281</v>
      </c>
    </row>
    <row r="217" spans="2:2" x14ac:dyDescent="0.25">
      <c r="B217" s="1" t="s">
        <v>282</v>
      </c>
    </row>
    <row r="218" spans="2:2" x14ac:dyDescent="0.25">
      <c r="B218" s="1" t="s">
        <v>283</v>
      </c>
    </row>
    <row r="219" spans="2:2" ht="30" x14ac:dyDescent="0.25">
      <c r="B219" s="1" t="s">
        <v>284</v>
      </c>
    </row>
    <row r="220" spans="2:2" x14ac:dyDescent="0.25">
      <c r="B220" s="1" t="s">
        <v>285</v>
      </c>
    </row>
    <row r="221" spans="2:2" x14ac:dyDescent="0.25">
      <c r="B221" s="1" t="s">
        <v>286</v>
      </c>
    </row>
    <row r="222" spans="2:2" x14ac:dyDescent="0.25">
      <c r="B222" s="1" t="s">
        <v>287</v>
      </c>
    </row>
    <row r="223" spans="2:2" x14ac:dyDescent="0.25">
      <c r="B223" s="1" t="s">
        <v>288</v>
      </c>
    </row>
    <row r="224" spans="2:2" ht="30" x14ac:dyDescent="0.25">
      <c r="B224" s="1" t="s">
        <v>289</v>
      </c>
    </row>
    <row r="225" spans="2:2" x14ac:dyDescent="0.25">
      <c r="B225" s="1" t="s">
        <v>290</v>
      </c>
    </row>
    <row r="226" spans="2:2" x14ac:dyDescent="0.25">
      <c r="B226" s="1" t="s">
        <v>291</v>
      </c>
    </row>
    <row r="227" spans="2:2" x14ac:dyDescent="0.25">
      <c r="B227" s="1" t="s">
        <v>292</v>
      </c>
    </row>
    <row r="228" spans="2:2" x14ac:dyDescent="0.25">
      <c r="B228" s="1" t="s">
        <v>293</v>
      </c>
    </row>
    <row r="229" spans="2:2" x14ac:dyDescent="0.25">
      <c r="B229" s="1" t="s">
        <v>294</v>
      </c>
    </row>
    <row r="230" spans="2:2" x14ac:dyDescent="0.25">
      <c r="B230" s="1" t="s">
        <v>295</v>
      </c>
    </row>
    <row r="231" spans="2:2" x14ac:dyDescent="0.25">
      <c r="B231" s="1" t="s">
        <v>296</v>
      </c>
    </row>
    <row r="232" spans="2:2" x14ac:dyDescent="0.25">
      <c r="B232" s="1" t="s">
        <v>297</v>
      </c>
    </row>
    <row r="233" spans="2:2" x14ac:dyDescent="0.25">
      <c r="B233" s="1" t="s">
        <v>298</v>
      </c>
    </row>
    <row r="234" spans="2:2" x14ac:dyDescent="0.25">
      <c r="B234" s="1" t="s">
        <v>299</v>
      </c>
    </row>
    <row r="235" spans="2:2" x14ac:dyDescent="0.25">
      <c r="B235" s="1" t="s">
        <v>300</v>
      </c>
    </row>
    <row r="236" spans="2:2" x14ac:dyDescent="0.25">
      <c r="B236" s="1" t="s">
        <v>301</v>
      </c>
    </row>
    <row r="237" spans="2:2" x14ac:dyDescent="0.25">
      <c r="B237" s="1" t="s">
        <v>302</v>
      </c>
    </row>
    <row r="238" spans="2:2" x14ac:dyDescent="0.25">
      <c r="B238" s="1" t="s">
        <v>303</v>
      </c>
    </row>
    <row r="239" spans="2:2" x14ac:dyDescent="0.25">
      <c r="B239" s="1" t="s">
        <v>304</v>
      </c>
    </row>
    <row r="240" spans="2:2" x14ac:dyDescent="0.25">
      <c r="B240" s="1" t="s">
        <v>305</v>
      </c>
    </row>
    <row r="241" spans="2:2" x14ac:dyDescent="0.25">
      <c r="B241" s="1" t="s">
        <v>306</v>
      </c>
    </row>
    <row r="242" spans="2:2" x14ac:dyDescent="0.25">
      <c r="B242" s="1" t="s">
        <v>307</v>
      </c>
    </row>
    <row r="243" spans="2:2" x14ac:dyDescent="0.25">
      <c r="B243" s="1" t="s">
        <v>308</v>
      </c>
    </row>
    <row r="244" spans="2:2" x14ac:dyDescent="0.25">
      <c r="B244" s="1" t="s">
        <v>309</v>
      </c>
    </row>
    <row r="245" spans="2:2" x14ac:dyDescent="0.25">
      <c r="B245" s="1" t="s">
        <v>310</v>
      </c>
    </row>
    <row r="246" spans="2:2" x14ac:dyDescent="0.25">
      <c r="B246" s="1" t="s">
        <v>311</v>
      </c>
    </row>
    <row r="247" spans="2:2" ht="30" x14ac:dyDescent="0.25">
      <c r="B247" s="1" t="s">
        <v>313</v>
      </c>
    </row>
    <row r="248" spans="2:2" x14ac:dyDescent="0.25">
      <c r="B248" s="1" t="s">
        <v>312</v>
      </c>
    </row>
    <row r="249" spans="2:2" x14ac:dyDescent="0.25">
      <c r="B249" s="1" t="s">
        <v>314</v>
      </c>
    </row>
    <row r="250" spans="2:2" x14ac:dyDescent="0.25">
      <c r="B250" s="1" t="s">
        <v>315</v>
      </c>
    </row>
    <row r="251" spans="2:2" x14ac:dyDescent="0.25">
      <c r="B251" s="1" t="s">
        <v>316</v>
      </c>
    </row>
    <row r="252" spans="2:2" x14ac:dyDescent="0.25">
      <c r="B252" s="1" t="s">
        <v>317</v>
      </c>
    </row>
    <row r="253" spans="2:2" x14ac:dyDescent="0.25">
      <c r="B253" s="1" t="s">
        <v>318</v>
      </c>
    </row>
    <row r="254" spans="2:2" x14ac:dyDescent="0.25">
      <c r="B254" s="1" t="s">
        <v>319</v>
      </c>
    </row>
    <row r="255" spans="2:2" x14ac:dyDescent="0.25">
      <c r="B255" s="1" t="s">
        <v>320</v>
      </c>
    </row>
    <row r="256" spans="2:2" x14ac:dyDescent="0.25">
      <c r="B256" s="1" t="s">
        <v>321</v>
      </c>
    </row>
    <row r="257" spans="2:2" x14ac:dyDescent="0.25">
      <c r="B257" s="1" t="s">
        <v>322</v>
      </c>
    </row>
    <row r="258" spans="2:2" x14ac:dyDescent="0.25">
      <c r="B258" s="1" t="s">
        <v>323</v>
      </c>
    </row>
    <row r="259" spans="2:2" x14ac:dyDescent="0.25">
      <c r="B259" s="1" t="s">
        <v>324</v>
      </c>
    </row>
    <row r="260" spans="2:2" x14ac:dyDescent="0.25">
      <c r="B260" s="1" t="s">
        <v>325</v>
      </c>
    </row>
    <row r="261" spans="2:2" x14ac:dyDescent="0.25">
      <c r="B261" s="1" t="s">
        <v>326</v>
      </c>
    </row>
    <row r="262" spans="2:2" x14ac:dyDescent="0.25">
      <c r="B262" s="1" t="s">
        <v>327</v>
      </c>
    </row>
    <row r="263" spans="2:2" x14ac:dyDescent="0.25">
      <c r="B263" s="1" t="s">
        <v>328</v>
      </c>
    </row>
    <row r="264" spans="2:2" x14ac:dyDescent="0.25">
      <c r="B264" s="1" t="s">
        <v>329</v>
      </c>
    </row>
    <row r="265" spans="2:2" x14ac:dyDescent="0.25">
      <c r="B265" s="1" t="s">
        <v>330</v>
      </c>
    </row>
    <row r="266" spans="2:2" x14ac:dyDescent="0.25">
      <c r="B266" s="1" t="s">
        <v>331</v>
      </c>
    </row>
    <row r="267" spans="2:2" x14ac:dyDescent="0.25">
      <c r="B267" s="1" t="s">
        <v>332</v>
      </c>
    </row>
    <row r="268" spans="2:2" x14ac:dyDescent="0.25">
      <c r="B268" s="1" t="s">
        <v>333</v>
      </c>
    </row>
    <row r="269" spans="2:2" x14ac:dyDescent="0.25">
      <c r="B269" s="1" t="s">
        <v>334</v>
      </c>
    </row>
    <row r="270" spans="2:2" x14ac:dyDescent="0.25">
      <c r="B270" s="1" t="s">
        <v>335</v>
      </c>
    </row>
    <row r="271" spans="2:2" x14ac:dyDescent="0.25">
      <c r="B271" s="1" t="s">
        <v>336</v>
      </c>
    </row>
    <row r="272" spans="2:2" x14ac:dyDescent="0.25">
      <c r="B272" s="1" t="s">
        <v>337</v>
      </c>
    </row>
    <row r="273" spans="2:2" x14ac:dyDescent="0.25">
      <c r="B273" s="1" t="s">
        <v>338</v>
      </c>
    </row>
    <row r="274" spans="2:2" x14ac:dyDescent="0.25">
      <c r="B274" s="1" t="s">
        <v>339</v>
      </c>
    </row>
    <row r="275" spans="2:2" x14ac:dyDescent="0.25">
      <c r="B275" s="1" t="s">
        <v>340</v>
      </c>
    </row>
    <row r="276" spans="2:2" ht="30" x14ac:dyDescent="0.25">
      <c r="B276" s="1" t="s">
        <v>341</v>
      </c>
    </row>
    <row r="277" spans="2:2" x14ac:dyDescent="0.25">
      <c r="B277" s="1" t="s">
        <v>342</v>
      </c>
    </row>
    <row r="278" spans="2:2" x14ac:dyDescent="0.25">
      <c r="B278" s="1" t="s">
        <v>343</v>
      </c>
    </row>
    <row r="279" spans="2:2" x14ac:dyDescent="0.25">
      <c r="B279" s="1" t="s">
        <v>344</v>
      </c>
    </row>
    <row r="280" spans="2:2" x14ac:dyDescent="0.25">
      <c r="B280" s="1" t="s">
        <v>345</v>
      </c>
    </row>
    <row r="281" spans="2:2" x14ac:dyDescent="0.25">
      <c r="B281" s="1" t="s">
        <v>346</v>
      </c>
    </row>
    <row r="282" spans="2:2" x14ac:dyDescent="0.25">
      <c r="B282" s="1" t="s">
        <v>347</v>
      </c>
    </row>
    <row r="283" spans="2:2" x14ac:dyDescent="0.25">
      <c r="B283" s="1" t="s">
        <v>348</v>
      </c>
    </row>
    <row r="284" spans="2:2" x14ac:dyDescent="0.25">
      <c r="B284" s="1" t="s">
        <v>349</v>
      </c>
    </row>
    <row r="285" spans="2:2" x14ac:dyDescent="0.25">
      <c r="B285" s="1" t="s">
        <v>350</v>
      </c>
    </row>
    <row r="286" spans="2:2" x14ac:dyDescent="0.25">
      <c r="B286" s="1" t="s">
        <v>351</v>
      </c>
    </row>
    <row r="287" spans="2:2" x14ac:dyDescent="0.25">
      <c r="B287" s="1" t="s">
        <v>352</v>
      </c>
    </row>
    <row r="288" spans="2:2" x14ac:dyDescent="0.25">
      <c r="B288" s="1" t="s">
        <v>353</v>
      </c>
    </row>
    <row r="289" spans="2:2" x14ac:dyDescent="0.25">
      <c r="B289" s="1" t="s">
        <v>354</v>
      </c>
    </row>
    <row r="290" spans="2:2" x14ac:dyDescent="0.25">
      <c r="B290" s="1" t="s">
        <v>355</v>
      </c>
    </row>
    <row r="291" spans="2:2" x14ac:dyDescent="0.25">
      <c r="B291" s="1" t="s">
        <v>356</v>
      </c>
    </row>
    <row r="292" spans="2:2" x14ac:dyDescent="0.25">
      <c r="B292" s="1" t="s">
        <v>357</v>
      </c>
    </row>
    <row r="293" spans="2:2" x14ac:dyDescent="0.25">
      <c r="B293" s="1" t="s">
        <v>358</v>
      </c>
    </row>
    <row r="294" spans="2:2" x14ac:dyDescent="0.25">
      <c r="B294" s="1" t="s">
        <v>359</v>
      </c>
    </row>
    <row r="295" spans="2:2" x14ac:dyDescent="0.25">
      <c r="B295" s="1" t="s">
        <v>360</v>
      </c>
    </row>
    <row r="296" spans="2:2" x14ac:dyDescent="0.25">
      <c r="B296" s="1" t="s">
        <v>361</v>
      </c>
    </row>
    <row r="297" spans="2:2" x14ac:dyDescent="0.25">
      <c r="B297" s="1" t="s">
        <v>362</v>
      </c>
    </row>
    <row r="298" spans="2:2" x14ac:dyDescent="0.25">
      <c r="B298" s="1" t="s">
        <v>363</v>
      </c>
    </row>
    <row r="299" spans="2:2" x14ac:dyDescent="0.25">
      <c r="B299" s="1" t="s">
        <v>364</v>
      </c>
    </row>
    <row r="300" spans="2:2" x14ac:dyDescent="0.25">
      <c r="B300" s="1" t="s">
        <v>365</v>
      </c>
    </row>
    <row r="301" spans="2:2" x14ac:dyDescent="0.25">
      <c r="B301" s="1" t="s">
        <v>366</v>
      </c>
    </row>
    <row r="302" spans="2:2" x14ac:dyDescent="0.25">
      <c r="B302" s="1" t="s">
        <v>367</v>
      </c>
    </row>
    <row r="303" spans="2:2" x14ac:dyDescent="0.25">
      <c r="B303" s="1" t="s">
        <v>368</v>
      </c>
    </row>
    <row r="304" spans="2:2" x14ac:dyDescent="0.25">
      <c r="B304" s="1" t="s">
        <v>370</v>
      </c>
    </row>
    <row r="305" spans="2:2" x14ac:dyDescent="0.25">
      <c r="B305" s="1" t="s">
        <v>369</v>
      </c>
    </row>
    <row r="306" spans="2:2" x14ac:dyDescent="0.25">
      <c r="B306" s="1" t="s">
        <v>371</v>
      </c>
    </row>
    <row r="307" spans="2:2" x14ac:dyDescent="0.25">
      <c r="B307" s="1" t="s">
        <v>372</v>
      </c>
    </row>
    <row r="308" spans="2:2" x14ac:dyDescent="0.25">
      <c r="B308" s="1" t="s">
        <v>373</v>
      </c>
    </row>
    <row r="309" spans="2:2" x14ac:dyDescent="0.25">
      <c r="B309" s="1" t="s">
        <v>374</v>
      </c>
    </row>
    <row r="310" spans="2:2" x14ac:dyDescent="0.25">
      <c r="B310" s="1" t="s">
        <v>375</v>
      </c>
    </row>
    <row r="311" spans="2:2" x14ac:dyDescent="0.25">
      <c r="B311" s="1" t="s">
        <v>376</v>
      </c>
    </row>
    <row r="312" spans="2:2" x14ac:dyDescent="0.25">
      <c r="B312" s="1" t="s">
        <v>377</v>
      </c>
    </row>
    <row r="313" spans="2:2" x14ac:dyDescent="0.25">
      <c r="B313" s="1" t="s">
        <v>378</v>
      </c>
    </row>
    <row r="314" spans="2:2" x14ac:dyDescent="0.25">
      <c r="B314" s="1" t="s">
        <v>379</v>
      </c>
    </row>
    <row r="315" spans="2:2" x14ac:dyDescent="0.25">
      <c r="B315" s="1" t="s">
        <v>380</v>
      </c>
    </row>
    <row r="316" spans="2:2" x14ac:dyDescent="0.25">
      <c r="B316" s="1" t="s">
        <v>381</v>
      </c>
    </row>
    <row r="317" spans="2:2" ht="30" x14ac:dyDescent="0.25">
      <c r="B317" s="1" t="s">
        <v>382</v>
      </c>
    </row>
    <row r="318" spans="2:2" x14ac:dyDescent="0.25">
      <c r="B318" s="1" t="s">
        <v>383</v>
      </c>
    </row>
    <row r="319" spans="2:2" x14ac:dyDescent="0.25">
      <c r="B319" s="1" t="s">
        <v>384</v>
      </c>
    </row>
    <row r="320" spans="2:2" x14ac:dyDescent="0.25">
      <c r="B320" s="1" t="s">
        <v>385</v>
      </c>
    </row>
    <row r="321" spans="2:2" x14ac:dyDescent="0.25">
      <c r="B321" s="1" t="s">
        <v>386</v>
      </c>
    </row>
    <row r="322" spans="2:2" x14ac:dyDescent="0.25">
      <c r="B322" s="1" t="s">
        <v>387</v>
      </c>
    </row>
    <row r="323" spans="2:2" x14ac:dyDescent="0.25">
      <c r="B323" s="1" t="s">
        <v>388</v>
      </c>
    </row>
    <row r="324" spans="2:2" x14ac:dyDescent="0.25">
      <c r="B324" s="1" t="s">
        <v>389</v>
      </c>
    </row>
    <row r="325" spans="2:2" x14ac:dyDescent="0.25">
      <c r="B325" s="1" t="s">
        <v>390</v>
      </c>
    </row>
    <row r="326" spans="2:2" x14ac:dyDescent="0.25">
      <c r="B326" s="1" t="s">
        <v>391</v>
      </c>
    </row>
    <row r="327" spans="2:2" x14ac:dyDescent="0.25">
      <c r="B327" s="1" t="s">
        <v>392</v>
      </c>
    </row>
    <row r="328" spans="2:2" x14ac:dyDescent="0.25">
      <c r="B328" s="1" t="s">
        <v>393</v>
      </c>
    </row>
    <row r="329" spans="2:2" x14ac:dyDescent="0.25">
      <c r="B329" s="1" t="s">
        <v>394</v>
      </c>
    </row>
    <row r="330" spans="2:2" x14ac:dyDescent="0.25">
      <c r="B330" s="1" t="s">
        <v>395</v>
      </c>
    </row>
    <row r="331" spans="2:2" x14ac:dyDescent="0.25">
      <c r="B331" s="1" t="s">
        <v>396</v>
      </c>
    </row>
    <row r="332" spans="2:2" x14ac:dyDescent="0.25">
      <c r="B332" s="1" t="s">
        <v>397</v>
      </c>
    </row>
    <row r="333" spans="2:2" x14ac:dyDescent="0.25">
      <c r="B333" s="1" t="s">
        <v>398</v>
      </c>
    </row>
    <row r="334" spans="2:2" x14ac:dyDescent="0.25">
      <c r="B334" s="1" t="s">
        <v>399</v>
      </c>
    </row>
    <row r="335" spans="2:2" x14ac:dyDescent="0.25">
      <c r="B335" s="1" t="s">
        <v>400</v>
      </c>
    </row>
    <row r="336" spans="2:2" x14ac:dyDescent="0.25">
      <c r="B336" s="1" t="s">
        <v>401</v>
      </c>
    </row>
    <row r="337" spans="2:2" x14ac:dyDescent="0.25">
      <c r="B337" s="1" t="s">
        <v>402</v>
      </c>
    </row>
    <row r="338" spans="2:2" x14ac:dyDescent="0.25">
      <c r="B338" s="1" t="s">
        <v>403</v>
      </c>
    </row>
    <row r="339" spans="2:2" x14ac:dyDescent="0.25">
      <c r="B339" s="1" t="s">
        <v>404</v>
      </c>
    </row>
    <row r="340" spans="2:2" x14ac:dyDescent="0.25">
      <c r="B340" s="1" t="s">
        <v>405</v>
      </c>
    </row>
    <row r="341" spans="2:2" x14ac:dyDescent="0.25">
      <c r="B341" s="1" t="s">
        <v>406</v>
      </c>
    </row>
    <row r="342" spans="2:2" x14ac:dyDescent="0.25">
      <c r="B342" s="1" t="s">
        <v>407</v>
      </c>
    </row>
    <row r="343" spans="2:2" x14ac:dyDescent="0.25">
      <c r="B343" s="1" t="s">
        <v>408</v>
      </c>
    </row>
    <row r="344" spans="2:2" x14ac:dyDescent="0.25">
      <c r="B344" s="1" t="s">
        <v>409</v>
      </c>
    </row>
    <row r="345" spans="2:2" x14ac:dyDescent="0.25">
      <c r="B345" s="1" t="s">
        <v>410</v>
      </c>
    </row>
    <row r="346" spans="2:2" x14ac:dyDescent="0.25">
      <c r="B346" s="1" t="s">
        <v>411</v>
      </c>
    </row>
    <row r="347" spans="2:2" x14ac:dyDescent="0.25">
      <c r="B347" s="1" t="s">
        <v>412</v>
      </c>
    </row>
    <row r="348" spans="2:2" x14ac:dyDescent="0.25">
      <c r="B348" s="1" t="s">
        <v>413</v>
      </c>
    </row>
    <row r="349" spans="2:2" x14ac:dyDescent="0.25">
      <c r="B349" s="1" t="s">
        <v>414</v>
      </c>
    </row>
    <row r="350" spans="2:2" x14ac:dyDescent="0.25">
      <c r="B350" s="1" t="s">
        <v>415</v>
      </c>
    </row>
    <row r="351" spans="2:2" x14ac:dyDescent="0.25">
      <c r="B351" s="1" t="s">
        <v>416</v>
      </c>
    </row>
    <row r="352" spans="2:2" x14ac:dyDescent="0.25">
      <c r="B352" s="1" t="s">
        <v>417</v>
      </c>
    </row>
    <row r="353" spans="2:2" x14ac:dyDescent="0.25">
      <c r="B353" s="1" t="s">
        <v>418</v>
      </c>
    </row>
    <row r="354" spans="2:2" x14ac:dyDescent="0.25">
      <c r="B354" s="1" t="s">
        <v>419</v>
      </c>
    </row>
    <row r="355" spans="2:2" x14ac:dyDescent="0.25">
      <c r="B355" s="1" t="s">
        <v>420</v>
      </c>
    </row>
    <row r="356" spans="2:2" x14ac:dyDescent="0.25">
      <c r="B356" s="1" t="s">
        <v>421</v>
      </c>
    </row>
    <row r="357" spans="2:2" x14ac:dyDescent="0.25">
      <c r="B357" s="1" t="s">
        <v>422</v>
      </c>
    </row>
    <row r="358" spans="2:2" x14ac:dyDescent="0.25">
      <c r="B358" s="1" t="s">
        <v>423</v>
      </c>
    </row>
    <row r="359" spans="2:2" x14ac:dyDescent="0.25">
      <c r="B359" s="1" t="s">
        <v>424</v>
      </c>
    </row>
    <row r="360" spans="2:2" x14ac:dyDescent="0.25">
      <c r="B360" s="1" t="s">
        <v>425</v>
      </c>
    </row>
    <row r="361" spans="2:2" x14ac:dyDescent="0.25">
      <c r="B361" s="1" t="s">
        <v>426</v>
      </c>
    </row>
    <row r="362" spans="2:2" x14ac:dyDescent="0.25">
      <c r="B362" s="1" t="s">
        <v>427</v>
      </c>
    </row>
    <row r="363" spans="2:2" x14ac:dyDescent="0.25">
      <c r="B363" s="1" t="s">
        <v>428</v>
      </c>
    </row>
    <row r="364" spans="2:2" x14ac:dyDescent="0.25">
      <c r="B364" s="1" t="s">
        <v>429</v>
      </c>
    </row>
    <row r="365" spans="2:2" x14ac:dyDescent="0.25">
      <c r="B365" s="1" t="s">
        <v>430</v>
      </c>
    </row>
    <row r="366" spans="2:2" x14ac:dyDescent="0.25">
      <c r="B366" s="1" t="s">
        <v>431</v>
      </c>
    </row>
    <row r="367" spans="2:2" x14ac:dyDescent="0.25">
      <c r="B367" s="1" t="s">
        <v>432</v>
      </c>
    </row>
    <row r="368" spans="2:2" x14ac:dyDescent="0.25">
      <c r="B368" s="1" t="s">
        <v>433</v>
      </c>
    </row>
    <row r="369" spans="2:2" x14ac:dyDescent="0.25">
      <c r="B369" s="1" t="s">
        <v>434</v>
      </c>
    </row>
    <row r="370" spans="2:2" x14ac:dyDescent="0.25">
      <c r="B370" s="1" t="s">
        <v>435</v>
      </c>
    </row>
    <row r="371" spans="2:2" x14ac:dyDescent="0.25">
      <c r="B371" s="1" t="s">
        <v>436</v>
      </c>
    </row>
    <row r="372" spans="2:2" x14ac:dyDescent="0.25">
      <c r="B372" s="1" t="s">
        <v>437</v>
      </c>
    </row>
    <row r="373" spans="2:2" x14ac:dyDescent="0.25">
      <c r="B373" s="1" t="s">
        <v>438</v>
      </c>
    </row>
    <row r="374" spans="2:2" ht="30" x14ac:dyDescent="0.25">
      <c r="B374" s="1" t="s">
        <v>439</v>
      </c>
    </row>
    <row r="375" spans="2:2" x14ac:dyDescent="0.25">
      <c r="B375" s="1" t="s">
        <v>440</v>
      </c>
    </row>
    <row r="376" spans="2:2" x14ac:dyDescent="0.25">
      <c r="B376" s="1" t="s">
        <v>441</v>
      </c>
    </row>
    <row r="377" spans="2:2" x14ac:dyDescent="0.25">
      <c r="B377" s="1" t="s">
        <v>442</v>
      </c>
    </row>
    <row r="378" spans="2:2" x14ac:dyDescent="0.25">
      <c r="B378" s="1" t="s">
        <v>443</v>
      </c>
    </row>
    <row r="379" spans="2:2" x14ac:dyDescent="0.25">
      <c r="B379" s="1" t="s">
        <v>444</v>
      </c>
    </row>
    <row r="380" spans="2:2" x14ac:dyDescent="0.25">
      <c r="B380" s="1" t="s">
        <v>445</v>
      </c>
    </row>
    <row r="381" spans="2:2" x14ac:dyDescent="0.25">
      <c r="B381" s="1" t="s">
        <v>446</v>
      </c>
    </row>
    <row r="382" spans="2:2" x14ac:dyDescent="0.25">
      <c r="B382" s="1" t="s">
        <v>447</v>
      </c>
    </row>
    <row r="383" spans="2:2" x14ac:dyDescent="0.25">
      <c r="B383" s="1" t="s">
        <v>448</v>
      </c>
    </row>
    <row r="384" spans="2:2" x14ac:dyDescent="0.25">
      <c r="B384" s="1" t="s">
        <v>449</v>
      </c>
    </row>
    <row r="385" spans="2:2" x14ac:dyDescent="0.25">
      <c r="B385" s="1" t="s">
        <v>450</v>
      </c>
    </row>
    <row r="386" spans="2:2" x14ac:dyDescent="0.25">
      <c r="B386" s="1" t="s">
        <v>451</v>
      </c>
    </row>
    <row r="387" spans="2:2" x14ac:dyDescent="0.25">
      <c r="B387" s="1" t="s">
        <v>452</v>
      </c>
    </row>
    <row r="388" spans="2:2" x14ac:dyDescent="0.25">
      <c r="B388" s="1" t="s">
        <v>453</v>
      </c>
    </row>
    <row r="389" spans="2:2" x14ac:dyDescent="0.25">
      <c r="B389" s="1" t="s">
        <v>454</v>
      </c>
    </row>
    <row r="390" spans="2:2" x14ac:dyDescent="0.25">
      <c r="B390" s="1" t="s">
        <v>455</v>
      </c>
    </row>
    <row r="391" spans="2:2" x14ac:dyDescent="0.25">
      <c r="B391" s="1" t="s">
        <v>456</v>
      </c>
    </row>
    <row r="392" spans="2:2" x14ac:dyDescent="0.25">
      <c r="B392" s="1" t="s">
        <v>457</v>
      </c>
    </row>
    <row r="393" spans="2:2" x14ac:dyDescent="0.25">
      <c r="B393" s="1" t="s">
        <v>458</v>
      </c>
    </row>
    <row r="394" spans="2:2" x14ac:dyDescent="0.25">
      <c r="B394" s="1" t="s">
        <v>459</v>
      </c>
    </row>
    <row r="395" spans="2:2" x14ac:dyDescent="0.25">
      <c r="B395" s="1" t="s">
        <v>460</v>
      </c>
    </row>
    <row r="396" spans="2:2" x14ac:dyDescent="0.25">
      <c r="B396" s="1" t="s">
        <v>461</v>
      </c>
    </row>
    <row r="397" spans="2:2" x14ac:dyDescent="0.25">
      <c r="B397" s="1" t="s">
        <v>462</v>
      </c>
    </row>
    <row r="398" spans="2:2" x14ac:dyDescent="0.25">
      <c r="B398" s="1" t="s">
        <v>463</v>
      </c>
    </row>
    <row r="399" spans="2:2" x14ac:dyDescent="0.25">
      <c r="B399" s="1" t="s">
        <v>464</v>
      </c>
    </row>
    <row r="400" spans="2:2" x14ac:dyDescent="0.25">
      <c r="B400" s="1" t="s">
        <v>465</v>
      </c>
    </row>
    <row r="401" spans="2:2" x14ac:dyDescent="0.25">
      <c r="B401" s="1" t="s">
        <v>466</v>
      </c>
    </row>
    <row r="402" spans="2:2" x14ac:dyDescent="0.25">
      <c r="B402" s="1" t="s">
        <v>467</v>
      </c>
    </row>
    <row r="403" spans="2:2" x14ac:dyDescent="0.25">
      <c r="B403" s="1" t="s">
        <v>468</v>
      </c>
    </row>
    <row r="404" spans="2:2" x14ac:dyDescent="0.25">
      <c r="B404" s="1" t="s">
        <v>469</v>
      </c>
    </row>
    <row r="405" spans="2:2" x14ac:dyDescent="0.25">
      <c r="B405" s="1" t="s">
        <v>470</v>
      </c>
    </row>
    <row r="406" spans="2:2" x14ac:dyDescent="0.25">
      <c r="B406" s="1" t="s">
        <v>471</v>
      </c>
    </row>
    <row r="407" spans="2:2" x14ac:dyDescent="0.25">
      <c r="B407" s="1" t="s">
        <v>472</v>
      </c>
    </row>
    <row r="408" spans="2:2" x14ac:dyDescent="0.25">
      <c r="B408" s="1" t="s">
        <v>473</v>
      </c>
    </row>
    <row r="409" spans="2:2" x14ac:dyDescent="0.25">
      <c r="B409" s="1" t="s">
        <v>474</v>
      </c>
    </row>
    <row r="410" spans="2:2" x14ac:dyDescent="0.25">
      <c r="B410" s="1" t="s">
        <v>475</v>
      </c>
    </row>
    <row r="411" spans="2:2" x14ac:dyDescent="0.25">
      <c r="B411" s="1" t="s">
        <v>476</v>
      </c>
    </row>
    <row r="412" spans="2:2" x14ac:dyDescent="0.25">
      <c r="B412" s="1" t="s">
        <v>477</v>
      </c>
    </row>
    <row r="413" spans="2:2" x14ac:dyDescent="0.25">
      <c r="B413" s="1" t="s">
        <v>478</v>
      </c>
    </row>
    <row r="414" spans="2:2" x14ac:dyDescent="0.25">
      <c r="B414" s="1" t="s">
        <v>479</v>
      </c>
    </row>
    <row r="415" spans="2:2" x14ac:dyDescent="0.25">
      <c r="B415" s="1" t="s">
        <v>480</v>
      </c>
    </row>
    <row r="416" spans="2:2" x14ac:dyDescent="0.25">
      <c r="B416" s="1" t="s">
        <v>481</v>
      </c>
    </row>
    <row r="417" spans="2:2" ht="30" x14ac:dyDescent="0.25">
      <c r="B417" s="1" t="s">
        <v>482</v>
      </c>
    </row>
    <row r="418" spans="2:2" x14ac:dyDescent="0.25">
      <c r="B418" s="1" t="s">
        <v>483</v>
      </c>
    </row>
    <row r="419" spans="2:2" x14ac:dyDescent="0.25">
      <c r="B419" s="1" t="s">
        <v>484</v>
      </c>
    </row>
    <row r="420" spans="2:2" x14ac:dyDescent="0.25">
      <c r="B420" s="1" t="s">
        <v>485</v>
      </c>
    </row>
    <row r="421" spans="2:2" x14ac:dyDescent="0.25">
      <c r="B421" s="1" t="s">
        <v>486</v>
      </c>
    </row>
    <row r="422" spans="2:2" x14ac:dyDescent="0.25">
      <c r="B422" s="1" t="s">
        <v>487</v>
      </c>
    </row>
    <row r="423" spans="2:2" x14ac:dyDescent="0.25">
      <c r="B423" s="1" t="s">
        <v>488</v>
      </c>
    </row>
    <row r="424" spans="2:2" x14ac:dyDescent="0.25">
      <c r="B424" s="1" t="s">
        <v>489</v>
      </c>
    </row>
    <row r="425" spans="2:2" x14ac:dyDescent="0.25">
      <c r="B425" s="1" t="s">
        <v>490</v>
      </c>
    </row>
    <row r="426" spans="2:2" x14ac:dyDescent="0.25">
      <c r="B426" s="1" t="s">
        <v>491</v>
      </c>
    </row>
    <row r="427" spans="2:2" x14ac:dyDescent="0.25">
      <c r="B427" s="1" t="s">
        <v>492</v>
      </c>
    </row>
    <row r="428" spans="2:2" x14ac:dyDescent="0.25">
      <c r="B428" s="1" t="s">
        <v>493</v>
      </c>
    </row>
    <row r="429" spans="2:2" x14ac:dyDescent="0.25">
      <c r="B429" s="1" t="s">
        <v>494</v>
      </c>
    </row>
    <row r="430" spans="2:2" x14ac:dyDescent="0.25">
      <c r="B430" s="1" t="s">
        <v>495</v>
      </c>
    </row>
    <row r="431" spans="2:2" x14ac:dyDescent="0.25">
      <c r="B431" s="1" t="s">
        <v>496</v>
      </c>
    </row>
    <row r="432" spans="2:2" x14ac:dyDescent="0.25">
      <c r="B432" s="1" t="s">
        <v>497</v>
      </c>
    </row>
    <row r="433" spans="2:2" x14ac:dyDescent="0.25">
      <c r="B433" s="1" t="s">
        <v>498</v>
      </c>
    </row>
    <row r="434" spans="2:2" x14ac:dyDescent="0.25">
      <c r="B434" s="1" t="s">
        <v>499</v>
      </c>
    </row>
    <row r="435" spans="2:2" x14ac:dyDescent="0.25">
      <c r="B435" s="1" t="s">
        <v>500</v>
      </c>
    </row>
    <row r="436" spans="2:2" x14ac:dyDescent="0.25">
      <c r="B436" s="1" t="s">
        <v>501</v>
      </c>
    </row>
    <row r="437" spans="2:2" x14ac:dyDescent="0.25">
      <c r="B437" s="1" t="s">
        <v>502</v>
      </c>
    </row>
    <row r="438" spans="2:2" x14ac:dyDescent="0.25">
      <c r="B438" s="1" t="s">
        <v>503</v>
      </c>
    </row>
    <row r="439" spans="2:2" x14ac:dyDescent="0.25">
      <c r="B439" s="1" t="s">
        <v>504</v>
      </c>
    </row>
    <row r="440" spans="2:2" x14ac:dyDescent="0.25">
      <c r="B440" s="1" t="s">
        <v>505</v>
      </c>
    </row>
    <row r="441" spans="2:2" x14ac:dyDescent="0.25">
      <c r="B441" s="1" t="s">
        <v>506</v>
      </c>
    </row>
    <row r="442" spans="2:2" x14ac:dyDescent="0.25">
      <c r="B442" s="1" t="s">
        <v>507</v>
      </c>
    </row>
    <row r="443" spans="2:2" x14ac:dyDescent="0.25">
      <c r="B443" s="1" t="s">
        <v>508</v>
      </c>
    </row>
    <row r="444" spans="2:2" x14ac:dyDescent="0.25">
      <c r="B444" s="1" t="s">
        <v>509</v>
      </c>
    </row>
    <row r="445" spans="2:2" x14ac:dyDescent="0.25">
      <c r="B445" s="1" t="s">
        <v>510</v>
      </c>
    </row>
    <row r="446" spans="2:2" x14ac:dyDescent="0.25">
      <c r="B446" s="1" t="s">
        <v>511</v>
      </c>
    </row>
    <row r="447" spans="2:2" x14ac:dyDescent="0.25">
      <c r="B447" s="1" t="s">
        <v>512</v>
      </c>
    </row>
    <row r="448" spans="2:2" x14ac:dyDescent="0.25">
      <c r="B448" s="1" t="s">
        <v>513</v>
      </c>
    </row>
    <row r="449" spans="2:2" x14ac:dyDescent="0.25">
      <c r="B449" s="1" t="s">
        <v>514</v>
      </c>
    </row>
    <row r="450" spans="2:2" x14ac:dyDescent="0.25">
      <c r="B450" s="1" t="s">
        <v>515</v>
      </c>
    </row>
    <row r="451" spans="2:2" x14ac:dyDescent="0.25">
      <c r="B451" s="1" t="s">
        <v>516</v>
      </c>
    </row>
    <row r="452" spans="2:2" ht="30" x14ac:dyDescent="0.25">
      <c r="B452" s="1" t="s">
        <v>517</v>
      </c>
    </row>
    <row r="453" spans="2:2" x14ac:dyDescent="0.25">
      <c r="B453" s="1" t="s">
        <v>518</v>
      </c>
    </row>
    <row r="454" spans="2:2" x14ac:dyDescent="0.25">
      <c r="B454" s="1" t="s">
        <v>519</v>
      </c>
    </row>
    <row r="455" spans="2:2" x14ac:dyDescent="0.25">
      <c r="B455" s="1" t="s">
        <v>520</v>
      </c>
    </row>
    <row r="456" spans="2:2" x14ac:dyDescent="0.25">
      <c r="B456" s="1" t="s">
        <v>521</v>
      </c>
    </row>
    <row r="457" spans="2:2" x14ac:dyDescent="0.25">
      <c r="B457" s="1" t="s">
        <v>522</v>
      </c>
    </row>
    <row r="458" spans="2:2" x14ac:dyDescent="0.25">
      <c r="B458" s="1" t="s">
        <v>523</v>
      </c>
    </row>
    <row r="459" spans="2:2" x14ac:dyDescent="0.25">
      <c r="B459" s="1" t="s">
        <v>524</v>
      </c>
    </row>
    <row r="460" spans="2:2" x14ac:dyDescent="0.25">
      <c r="B460" s="1" t="s">
        <v>525</v>
      </c>
    </row>
    <row r="461" spans="2:2" x14ac:dyDescent="0.25">
      <c r="B461" s="1" t="s">
        <v>526</v>
      </c>
    </row>
    <row r="462" spans="2:2" x14ac:dyDescent="0.25">
      <c r="B462" s="1" t="s">
        <v>527</v>
      </c>
    </row>
    <row r="463" spans="2:2" x14ac:dyDescent="0.25">
      <c r="B463" s="1" t="s">
        <v>528</v>
      </c>
    </row>
    <row r="464" spans="2:2" x14ac:dyDescent="0.25">
      <c r="B464" s="1" t="s">
        <v>529</v>
      </c>
    </row>
    <row r="465" spans="2:2" x14ac:dyDescent="0.25">
      <c r="B465" s="1" t="s">
        <v>530</v>
      </c>
    </row>
    <row r="466" spans="2:2" x14ac:dyDescent="0.25">
      <c r="B466" s="1" t="s">
        <v>531</v>
      </c>
    </row>
    <row r="467" spans="2:2" x14ac:dyDescent="0.25">
      <c r="B467" s="1" t="s">
        <v>532</v>
      </c>
    </row>
    <row r="468" spans="2:2" x14ac:dyDescent="0.25">
      <c r="B468" s="1" t="s">
        <v>533</v>
      </c>
    </row>
    <row r="469" spans="2:2" x14ac:dyDescent="0.25">
      <c r="B469" s="1" t="s">
        <v>534</v>
      </c>
    </row>
    <row r="470" spans="2:2" x14ac:dyDescent="0.25">
      <c r="B470" s="1" t="s">
        <v>535</v>
      </c>
    </row>
    <row r="471" spans="2:2" x14ac:dyDescent="0.25">
      <c r="B471" s="1" t="s">
        <v>536</v>
      </c>
    </row>
    <row r="472" spans="2:2" x14ac:dyDescent="0.25">
      <c r="B472" s="1" t="s">
        <v>537</v>
      </c>
    </row>
    <row r="473" spans="2:2" x14ac:dyDescent="0.25">
      <c r="B473" s="1" t="s">
        <v>538</v>
      </c>
    </row>
    <row r="474" spans="2:2" x14ac:dyDescent="0.25">
      <c r="B474" s="1" t="s">
        <v>539</v>
      </c>
    </row>
    <row r="475" spans="2:2" x14ac:dyDescent="0.25">
      <c r="B475" s="1" t="s">
        <v>540</v>
      </c>
    </row>
    <row r="476" spans="2:2" x14ac:dyDescent="0.25">
      <c r="B476" s="1" t="s">
        <v>541</v>
      </c>
    </row>
    <row r="477" spans="2:2" x14ac:dyDescent="0.25">
      <c r="B477" s="1" t="s">
        <v>542</v>
      </c>
    </row>
    <row r="478" spans="2:2" x14ac:dyDescent="0.25">
      <c r="B478" s="1" t="s">
        <v>543</v>
      </c>
    </row>
    <row r="479" spans="2:2" x14ac:dyDescent="0.25">
      <c r="B479" s="1" t="s">
        <v>544</v>
      </c>
    </row>
    <row r="480" spans="2:2" x14ac:dyDescent="0.25">
      <c r="B480" s="1" t="s">
        <v>545</v>
      </c>
    </row>
    <row r="481" spans="2:2" x14ac:dyDescent="0.25">
      <c r="B481" s="1" t="s">
        <v>546</v>
      </c>
    </row>
    <row r="482" spans="2:2" x14ac:dyDescent="0.25">
      <c r="B482" s="1" t="s">
        <v>547</v>
      </c>
    </row>
    <row r="483" spans="2:2" x14ac:dyDescent="0.25">
      <c r="B483" s="1" t="s">
        <v>548</v>
      </c>
    </row>
    <row r="484" spans="2:2" x14ac:dyDescent="0.25">
      <c r="B484" s="1" t="s">
        <v>549</v>
      </c>
    </row>
    <row r="485" spans="2:2" x14ac:dyDescent="0.25">
      <c r="B485" s="1" t="s">
        <v>550</v>
      </c>
    </row>
    <row r="486" spans="2:2" x14ac:dyDescent="0.25">
      <c r="B486" s="1" t="s">
        <v>551</v>
      </c>
    </row>
    <row r="487" spans="2:2" x14ac:dyDescent="0.25">
      <c r="B487" s="1" t="s">
        <v>552</v>
      </c>
    </row>
    <row r="488" spans="2:2" x14ac:dyDescent="0.25">
      <c r="B488" s="1" t="s">
        <v>553</v>
      </c>
    </row>
    <row r="489" spans="2:2" x14ac:dyDescent="0.25">
      <c r="B489" s="1" t="s">
        <v>554</v>
      </c>
    </row>
    <row r="490" spans="2:2" x14ac:dyDescent="0.25">
      <c r="B490" s="1" t="s">
        <v>555</v>
      </c>
    </row>
    <row r="491" spans="2:2" x14ac:dyDescent="0.25">
      <c r="B491" s="1" t="s">
        <v>556</v>
      </c>
    </row>
    <row r="492" spans="2:2" x14ac:dyDescent="0.25">
      <c r="B492" s="1" t="s">
        <v>557</v>
      </c>
    </row>
    <row r="493" spans="2:2" x14ac:dyDescent="0.25">
      <c r="B493" s="1" t="s">
        <v>558</v>
      </c>
    </row>
    <row r="494" spans="2:2" x14ac:dyDescent="0.25">
      <c r="B494" s="1" t="s">
        <v>559</v>
      </c>
    </row>
    <row r="495" spans="2:2" x14ac:dyDescent="0.25">
      <c r="B495" s="1" t="s">
        <v>560</v>
      </c>
    </row>
    <row r="496" spans="2:2" ht="30" x14ac:dyDescent="0.25">
      <c r="B496" s="1" t="s">
        <v>561</v>
      </c>
    </row>
    <row r="497" spans="2:2" x14ac:dyDescent="0.25">
      <c r="B497" s="1" t="s">
        <v>562</v>
      </c>
    </row>
    <row r="498" spans="2:2" x14ac:dyDescent="0.25">
      <c r="B498" s="1" t="s">
        <v>563</v>
      </c>
    </row>
    <row r="499" spans="2:2" x14ac:dyDescent="0.25">
      <c r="B499" s="1" t="s">
        <v>564</v>
      </c>
    </row>
    <row r="500" spans="2:2" x14ac:dyDescent="0.25">
      <c r="B500" s="1" t="s">
        <v>565</v>
      </c>
    </row>
    <row r="501" spans="2:2" x14ac:dyDescent="0.25">
      <c r="B501" s="1" t="s">
        <v>566</v>
      </c>
    </row>
    <row r="502" spans="2:2" x14ac:dyDescent="0.25">
      <c r="B502" s="1" t="s">
        <v>567</v>
      </c>
    </row>
    <row r="503" spans="2:2" x14ac:dyDescent="0.25">
      <c r="B503" s="1" t="s">
        <v>568</v>
      </c>
    </row>
    <row r="504" spans="2:2" x14ac:dyDescent="0.25">
      <c r="B504" s="1" t="s">
        <v>569</v>
      </c>
    </row>
    <row r="505" spans="2:2" ht="30" x14ac:dyDescent="0.25">
      <c r="B505" s="1" t="s">
        <v>570</v>
      </c>
    </row>
    <row r="506" spans="2:2" x14ac:dyDescent="0.25">
      <c r="B506" s="1" t="s">
        <v>571</v>
      </c>
    </row>
    <row r="507" spans="2:2" x14ac:dyDescent="0.25">
      <c r="B507" s="1" t="s">
        <v>572</v>
      </c>
    </row>
    <row r="508" spans="2:2" x14ac:dyDescent="0.25">
      <c r="B508" s="1" t="s">
        <v>573</v>
      </c>
    </row>
    <row r="509" spans="2:2" x14ac:dyDescent="0.25">
      <c r="B509" s="1" t="s">
        <v>574</v>
      </c>
    </row>
    <row r="510" spans="2:2" x14ac:dyDescent="0.25">
      <c r="B510" s="1" t="s">
        <v>575</v>
      </c>
    </row>
    <row r="511" spans="2:2" x14ac:dyDescent="0.25">
      <c r="B511" s="1" t="s">
        <v>576</v>
      </c>
    </row>
    <row r="512" spans="2:2" x14ac:dyDescent="0.25">
      <c r="B512" s="1" t="s">
        <v>577</v>
      </c>
    </row>
    <row r="513" spans="2:2" x14ac:dyDescent="0.25">
      <c r="B513" s="1" t="s">
        <v>578</v>
      </c>
    </row>
    <row r="514" spans="2:2" x14ac:dyDescent="0.25">
      <c r="B514" s="1" t="s">
        <v>579</v>
      </c>
    </row>
    <row r="515" spans="2:2" x14ac:dyDescent="0.25">
      <c r="B515" s="1" t="s">
        <v>580</v>
      </c>
    </row>
    <row r="516" spans="2:2" x14ac:dyDescent="0.25">
      <c r="B516" s="1" t="s">
        <v>581</v>
      </c>
    </row>
    <row r="517" spans="2:2" x14ac:dyDescent="0.25">
      <c r="B517" s="1" t="s">
        <v>582</v>
      </c>
    </row>
    <row r="518" spans="2:2" x14ac:dyDescent="0.25">
      <c r="B518" s="1" t="s">
        <v>583</v>
      </c>
    </row>
    <row r="519" spans="2:2" x14ac:dyDescent="0.25">
      <c r="B519" s="1" t="s">
        <v>584</v>
      </c>
    </row>
    <row r="520" spans="2:2" x14ac:dyDescent="0.25">
      <c r="B520" s="1" t="s">
        <v>585</v>
      </c>
    </row>
    <row r="521" spans="2:2" x14ac:dyDescent="0.25">
      <c r="B521" s="1" t="s">
        <v>586</v>
      </c>
    </row>
    <row r="522" spans="2:2" x14ac:dyDescent="0.25">
      <c r="B522" s="1" t="s">
        <v>587</v>
      </c>
    </row>
    <row r="523" spans="2:2" x14ac:dyDescent="0.25">
      <c r="B523" s="1" t="s">
        <v>588</v>
      </c>
    </row>
    <row r="524" spans="2:2" x14ac:dyDescent="0.25">
      <c r="B524" s="1" t="s">
        <v>589</v>
      </c>
    </row>
    <row r="525" spans="2:2" x14ac:dyDescent="0.25">
      <c r="B525" s="1" t="s">
        <v>590</v>
      </c>
    </row>
    <row r="526" spans="2:2" x14ac:dyDescent="0.25">
      <c r="B526" s="1" t="s">
        <v>591</v>
      </c>
    </row>
    <row r="527" spans="2:2" x14ac:dyDescent="0.25">
      <c r="B527" s="1" t="s">
        <v>592</v>
      </c>
    </row>
    <row r="528" spans="2:2" x14ac:dyDescent="0.25">
      <c r="B528" s="1" t="s">
        <v>593</v>
      </c>
    </row>
    <row r="529" spans="2:2" x14ac:dyDescent="0.25">
      <c r="B529" s="1" t="s">
        <v>594</v>
      </c>
    </row>
    <row r="530" spans="2:2" ht="30" x14ac:dyDescent="0.25">
      <c r="B530" s="1" t="s">
        <v>595</v>
      </c>
    </row>
    <row r="531" spans="2:2" x14ac:dyDescent="0.25">
      <c r="B531" s="1" t="s">
        <v>596</v>
      </c>
    </row>
    <row r="532" spans="2:2" x14ac:dyDescent="0.25">
      <c r="B532" s="1" t="s">
        <v>597</v>
      </c>
    </row>
    <row r="533" spans="2:2" x14ac:dyDescent="0.25">
      <c r="B533" s="1" t="s">
        <v>598</v>
      </c>
    </row>
    <row r="534" spans="2:2" x14ac:dyDescent="0.25">
      <c r="B534" s="1" t="s">
        <v>599</v>
      </c>
    </row>
    <row r="535" spans="2:2" x14ac:dyDescent="0.25">
      <c r="B535" s="1" t="s">
        <v>601</v>
      </c>
    </row>
    <row r="536" spans="2:2" x14ac:dyDescent="0.25">
      <c r="B536" s="1" t="s">
        <v>600</v>
      </c>
    </row>
    <row r="537" spans="2:2" x14ac:dyDescent="0.25">
      <c r="B537" s="1" t="s">
        <v>602</v>
      </c>
    </row>
    <row r="538" spans="2:2" x14ac:dyDescent="0.25">
      <c r="B538" s="1" t="s">
        <v>603</v>
      </c>
    </row>
    <row r="539" spans="2:2" x14ac:dyDescent="0.25">
      <c r="B539" s="1" t="s">
        <v>604</v>
      </c>
    </row>
    <row r="540" spans="2:2" x14ac:dyDescent="0.25">
      <c r="B540" s="1" t="s">
        <v>605</v>
      </c>
    </row>
    <row r="541" spans="2:2" x14ac:dyDescent="0.25">
      <c r="B541" s="1" t="s">
        <v>606</v>
      </c>
    </row>
    <row r="542" spans="2:2" x14ac:dyDescent="0.25">
      <c r="B542" s="1" t="s">
        <v>607</v>
      </c>
    </row>
    <row r="543" spans="2:2" x14ac:dyDescent="0.25">
      <c r="B543" s="1" t="s">
        <v>608</v>
      </c>
    </row>
    <row r="544" spans="2:2" x14ac:dyDescent="0.25">
      <c r="B544" s="1" t="s">
        <v>609</v>
      </c>
    </row>
    <row r="545" spans="2:2" x14ac:dyDescent="0.25">
      <c r="B545" s="1" t="s">
        <v>610</v>
      </c>
    </row>
    <row r="546" spans="2:2" x14ac:dyDescent="0.25">
      <c r="B546" s="1" t="s">
        <v>611</v>
      </c>
    </row>
    <row r="547" spans="2:2" x14ac:dyDescent="0.25">
      <c r="B547" s="1" t="s">
        <v>612</v>
      </c>
    </row>
    <row r="548" spans="2:2" x14ac:dyDescent="0.25">
      <c r="B548" s="1" t="s">
        <v>613</v>
      </c>
    </row>
    <row r="549" spans="2:2" x14ac:dyDescent="0.25">
      <c r="B549" s="1" t="s">
        <v>614</v>
      </c>
    </row>
    <row r="550" spans="2:2" x14ac:dyDescent="0.25">
      <c r="B550" s="1" t="s">
        <v>615</v>
      </c>
    </row>
    <row r="551" spans="2:2" x14ac:dyDescent="0.25">
      <c r="B551" s="1" t="s">
        <v>616</v>
      </c>
    </row>
    <row r="552" spans="2:2" x14ac:dyDescent="0.25">
      <c r="B552" s="1" t="s">
        <v>617</v>
      </c>
    </row>
    <row r="553" spans="2:2" x14ac:dyDescent="0.25">
      <c r="B553" s="1" t="s">
        <v>618</v>
      </c>
    </row>
    <row r="554" spans="2:2" x14ac:dyDescent="0.25">
      <c r="B554" s="1" t="s">
        <v>619</v>
      </c>
    </row>
    <row r="555" spans="2:2" x14ac:dyDescent="0.25">
      <c r="B555" s="1" t="s">
        <v>620</v>
      </c>
    </row>
    <row r="556" spans="2:2" x14ac:dyDescent="0.25">
      <c r="B556" s="1" t="s">
        <v>621</v>
      </c>
    </row>
    <row r="557" spans="2:2" x14ac:dyDescent="0.25">
      <c r="B557" s="1" t="s">
        <v>622</v>
      </c>
    </row>
    <row r="558" spans="2:2" x14ac:dyDescent="0.25">
      <c r="B558" s="1" t="s">
        <v>623</v>
      </c>
    </row>
    <row r="559" spans="2:2" x14ac:dyDescent="0.25">
      <c r="B559" s="1" t="s">
        <v>624</v>
      </c>
    </row>
    <row r="560" spans="2:2" x14ac:dyDescent="0.25">
      <c r="B560" s="1" t="s">
        <v>625</v>
      </c>
    </row>
    <row r="561" spans="2:2" x14ac:dyDescent="0.25">
      <c r="B561" s="1" t="s">
        <v>626</v>
      </c>
    </row>
    <row r="562" spans="2:2" x14ac:dyDescent="0.25">
      <c r="B562" s="1" t="s">
        <v>627</v>
      </c>
    </row>
    <row r="563" spans="2:2" x14ac:dyDescent="0.25">
      <c r="B563" s="1" t="s">
        <v>628</v>
      </c>
    </row>
    <row r="564" spans="2:2" x14ac:dyDescent="0.25">
      <c r="B564" s="1" t="s">
        <v>629</v>
      </c>
    </row>
    <row r="565" spans="2:2" x14ac:dyDescent="0.25">
      <c r="B565" s="1" t="s">
        <v>631</v>
      </c>
    </row>
    <row r="566" spans="2:2" x14ac:dyDescent="0.25">
      <c r="B566" s="1" t="s">
        <v>630</v>
      </c>
    </row>
    <row r="567" spans="2:2" x14ac:dyDescent="0.25">
      <c r="B567" s="1" t="s">
        <v>632</v>
      </c>
    </row>
    <row r="568" spans="2:2" x14ac:dyDescent="0.25">
      <c r="B568" s="1" t="s">
        <v>633</v>
      </c>
    </row>
    <row r="569" spans="2:2" x14ac:dyDescent="0.25">
      <c r="B569" s="1" t="s">
        <v>634</v>
      </c>
    </row>
    <row r="570" spans="2:2" x14ac:dyDescent="0.25">
      <c r="B570" s="1" t="s">
        <v>635</v>
      </c>
    </row>
    <row r="571" spans="2:2" x14ac:dyDescent="0.25">
      <c r="B571" s="1" t="s">
        <v>636</v>
      </c>
    </row>
    <row r="572" spans="2:2" x14ac:dyDescent="0.25">
      <c r="B572" s="1" t="s">
        <v>637</v>
      </c>
    </row>
    <row r="573" spans="2:2" x14ac:dyDescent="0.25">
      <c r="B573" s="1" t="s">
        <v>638</v>
      </c>
    </row>
    <row r="574" spans="2:2" x14ac:dyDescent="0.25">
      <c r="B574" s="1" t="s">
        <v>639</v>
      </c>
    </row>
    <row r="575" spans="2:2" x14ac:dyDescent="0.25">
      <c r="B575" s="1" t="s">
        <v>640</v>
      </c>
    </row>
    <row r="576" spans="2:2" x14ac:dyDescent="0.25">
      <c r="B576" s="1" t="s">
        <v>641</v>
      </c>
    </row>
    <row r="577" spans="2:2" ht="30" x14ac:dyDescent="0.25">
      <c r="B577" s="1" t="s">
        <v>642</v>
      </c>
    </row>
    <row r="578" spans="2:2" x14ac:dyDescent="0.25">
      <c r="B578" s="1" t="s">
        <v>643</v>
      </c>
    </row>
    <row r="579" spans="2:2" x14ac:dyDescent="0.25">
      <c r="B579" s="1" t="s">
        <v>644</v>
      </c>
    </row>
    <row r="580" spans="2:2" x14ac:dyDescent="0.25">
      <c r="B580" s="1" t="s">
        <v>645</v>
      </c>
    </row>
    <row r="581" spans="2:2" x14ac:dyDescent="0.25">
      <c r="B581" s="1" t="s">
        <v>646</v>
      </c>
    </row>
    <row r="582" spans="2:2" x14ac:dyDescent="0.25">
      <c r="B582" s="1" t="s">
        <v>647</v>
      </c>
    </row>
    <row r="583" spans="2:2" x14ac:dyDescent="0.25">
      <c r="B583" s="1" t="s">
        <v>648</v>
      </c>
    </row>
    <row r="584" spans="2:2" x14ac:dyDescent="0.25">
      <c r="B584" s="1" t="s">
        <v>649</v>
      </c>
    </row>
    <row r="585" spans="2:2" x14ac:dyDescent="0.25">
      <c r="B585" s="1" t="s">
        <v>650</v>
      </c>
    </row>
    <row r="586" spans="2:2" x14ac:dyDescent="0.25">
      <c r="B586" s="1" t="s">
        <v>651</v>
      </c>
    </row>
    <row r="587" spans="2:2" x14ac:dyDescent="0.25">
      <c r="B587" s="1" t="s">
        <v>652</v>
      </c>
    </row>
    <row r="588" spans="2:2" x14ac:dyDescent="0.25">
      <c r="B588" s="1" t="s">
        <v>653</v>
      </c>
    </row>
    <row r="589" spans="2:2" x14ac:dyDescent="0.25">
      <c r="B589" s="1" t="s">
        <v>654</v>
      </c>
    </row>
    <row r="590" spans="2:2" ht="30" x14ac:dyDescent="0.25">
      <c r="B590" s="1" t="s">
        <v>655</v>
      </c>
    </row>
    <row r="591" spans="2:2" x14ac:dyDescent="0.25">
      <c r="B591" s="1" t="s">
        <v>656</v>
      </c>
    </row>
    <row r="592" spans="2:2" x14ac:dyDescent="0.25">
      <c r="B592" s="1" t="s">
        <v>657</v>
      </c>
    </row>
    <row r="593" spans="2:2" x14ac:dyDescent="0.25">
      <c r="B593" s="1" t="s">
        <v>658</v>
      </c>
    </row>
    <row r="594" spans="2:2" x14ac:dyDescent="0.25">
      <c r="B594" s="1" t="s">
        <v>659</v>
      </c>
    </row>
    <row r="595" spans="2:2" x14ac:dyDescent="0.25">
      <c r="B595" s="1" t="s">
        <v>660</v>
      </c>
    </row>
    <row r="596" spans="2:2" x14ac:dyDescent="0.25">
      <c r="B596" s="1" t="s">
        <v>661</v>
      </c>
    </row>
    <row r="597" spans="2:2" x14ac:dyDescent="0.25">
      <c r="B597" s="1" t="s">
        <v>662</v>
      </c>
    </row>
    <row r="598" spans="2:2" x14ac:dyDescent="0.25">
      <c r="B598" s="1" t="s">
        <v>663</v>
      </c>
    </row>
    <row r="599" spans="2:2" x14ac:dyDescent="0.25">
      <c r="B599" s="1" t="s">
        <v>664</v>
      </c>
    </row>
    <row r="600" spans="2:2" x14ac:dyDescent="0.25">
      <c r="B600" s="1" t="s">
        <v>665</v>
      </c>
    </row>
    <row r="601" spans="2:2" x14ac:dyDescent="0.25">
      <c r="B601" s="1" t="s">
        <v>666</v>
      </c>
    </row>
    <row r="602" spans="2:2" x14ac:dyDescent="0.25">
      <c r="B602" s="1" t="s">
        <v>667</v>
      </c>
    </row>
    <row r="603" spans="2:2" x14ac:dyDescent="0.25">
      <c r="B603" s="1" t="s">
        <v>668</v>
      </c>
    </row>
    <row r="604" spans="2:2" x14ac:dyDescent="0.25">
      <c r="B604" s="1" t="s">
        <v>669</v>
      </c>
    </row>
    <row r="605" spans="2:2" x14ac:dyDescent="0.25">
      <c r="B605" s="1" t="s">
        <v>670</v>
      </c>
    </row>
    <row r="606" spans="2:2" x14ac:dyDescent="0.25">
      <c r="B606" s="1" t="s">
        <v>671</v>
      </c>
    </row>
    <row r="607" spans="2:2" x14ac:dyDescent="0.25">
      <c r="B607" s="1" t="s">
        <v>672</v>
      </c>
    </row>
    <row r="608" spans="2:2" x14ac:dyDescent="0.25">
      <c r="B608" s="1" t="s">
        <v>673</v>
      </c>
    </row>
    <row r="609" spans="2:2" x14ac:dyDescent="0.25">
      <c r="B609" s="1" t="s">
        <v>674</v>
      </c>
    </row>
    <row r="610" spans="2:2" x14ac:dyDescent="0.25">
      <c r="B610" s="1" t="s">
        <v>675</v>
      </c>
    </row>
    <row r="611" spans="2:2" x14ac:dyDescent="0.25">
      <c r="B611" s="1" t="s">
        <v>676</v>
      </c>
    </row>
    <row r="612" spans="2:2" x14ac:dyDescent="0.25">
      <c r="B612" s="1" t="s">
        <v>677</v>
      </c>
    </row>
    <row r="613" spans="2:2" x14ac:dyDescent="0.25">
      <c r="B613" s="1" t="s">
        <v>678</v>
      </c>
    </row>
    <row r="614" spans="2:2" x14ac:dyDescent="0.25">
      <c r="B614" s="1" t="s">
        <v>679</v>
      </c>
    </row>
    <row r="615" spans="2:2" x14ac:dyDescent="0.25">
      <c r="B615" s="1" t="s">
        <v>680</v>
      </c>
    </row>
    <row r="616" spans="2:2" x14ac:dyDescent="0.25">
      <c r="B616" s="1" t="s">
        <v>681</v>
      </c>
    </row>
    <row r="617" spans="2:2" x14ac:dyDescent="0.25">
      <c r="B617" s="1" t="s">
        <v>682</v>
      </c>
    </row>
    <row r="618" spans="2:2" x14ac:dyDescent="0.25">
      <c r="B618" s="1" t="s">
        <v>683</v>
      </c>
    </row>
    <row r="619" spans="2:2" x14ac:dyDescent="0.25">
      <c r="B619" s="1" t="s">
        <v>684</v>
      </c>
    </row>
    <row r="620" spans="2:2" x14ac:dyDescent="0.25">
      <c r="B620" s="1" t="s">
        <v>685</v>
      </c>
    </row>
    <row r="621" spans="2:2" x14ac:dyDescent="0.25">
      <c r="B621" s="1" t="s">
        <v>686</v>
      </c>
    </row>
    <row r="622" spans="2:2" x14ac:dyDescent="0.25">
      <c r="B622" s="1" t="s">
        <v>687</v>
      </c>
    </row>
    <row r="623" spans="2:2" x14ac:dyDescent="0.25">
      <c r="B623" s="1" t="s">
        <v>688</v>
      </c>
    </row>
    <row r="624" spans="2:2" x14ac:dyDescent="0.25">
      <c r="B624" s="1" t="s">
        <v>689</v>
      </c>
    </row>
    <row r="625" spans="2:2" x14ac:dyDescent="0.25">
      <c r="B625" s="1" t="s">
        <v>690</v>
      </c>
    </row>
    <row r="626" spans="2:2" x14ac:dyDescent="0.25">
      <c r="B626" s="1" t="s">
        <v>691</v>
      </c>
    </row>
    <row r="627" spans="2:2" x14ac:dyDescent="0.25">
      <c r="B627" s="1" t="s">
        <v>692</v>
      </c>
    </row>
    <row r="628" spans="2:2" x14ac:dyDescent="0.25">
      <c r="B628" s="1" t="s">
        <v>693</v>
      </c>
    </row>
    <row r="629" spans="2:2" x14ac:dyDescent="0.25">
      <c r="B629" s="1" t="s">
        <v>694</v>
      </c>
    </row>
    <row r="630" spans="2:2" x14ac:dyDescent="0.25">
      <c r="B630" s="1" t="s">
        <v>695</v>
      </c>
    </row>
    <row r="631" spans="2:2" x14ac:dyDescent="0.25">
      <c r="B631" s="1" t="s">
        <v>696</v>
      </c>
    </row>
    <row r="632" spans="2:2" x14ac:dyDescent="0.25">
      <c r="B632" s="1" t="s">
        <v>697</v>
      </c>
    </row>
    <row r="633" spans="2:2" x14ac:dyDescent="0.25">
      <c r="B633" s="1" t="s">
        <v>698</v>
      </c>
    </row>
    <row r="634" spans="2:2" x14ac:dyDescent="0.25">
      <c r="B634" s="1" t="s">
        <v>699</v>
      </c>
    </row>
    <row r="635" spans="2:2" x14ac:dyDescent="0.25">
      <c r="B635" s="1" t="s">
        <v>700</v>
      </c>
    </row>
    <row r="636" spans="2:2" x14ac:dyDescent="0.25">
      <c r="B636" s="1" t="s">
        <v>701</v>
      </c>
    </row>
    <row r="637" spans="2:2" x14ac:dyDescent="0.25">
      <c r="B637" s="1" t="s">
        <v>702</v>
      </c>
    </row>
    <row r="638" spans="2:2" x14ac:dyDescent="0.25">
      <c r="B638" s="1" t="s">
        <v>703</v>
      </c>
    </row>
    <row r="639" spans="2:2" x14ac:dyDescent="0.25">
      <c r="B639" s="1" t="s">
        <v>704</v>
      </c>
    </row>
    <row r="640" spans="2:2" x14ac:dyDescent="0.25">
      <c r="B640" s="1" t="s">
        <v>705</v>
      </c>
    </row>
    <row r="641" spans="2:2" x14ac:dyDescent="0.25">
      <c r="B641" s="1" t="s">
        <v>706</v>
      </c>
    </row>
    <row r="642" spans="2:2" x14ac:dyDescent="0.25">
      <c r="B642" s="1" t="s">
        <v>707</v>
      </c>
    </row>
    <row r="643" spans="2:2" x14ac:dyDescent="0.25">
      <c r="B643" s="1" t="s">
        <v>708</v>
      </c>
    </row>
    <row r="644" spans="2:2" x14ac:dyDescent="0.25">
      <c r="B644" s="1" t="s">
        <v>709</v>
      </c>
    </row>
    <row r="645" spans="2:2" x14ac:dyDescent="0.25">
      <c r="B645" s="1" t="s">
        <v>710</v>
      </c>
    </row>
    <row r="646" spans="2:2" x14ac:dyDescent="0.25">
      <c r="B646" s="1" t="s">
        <v>711</v>
      </c>
    </row>
    <row r="647" spans="2:2" x14ac:dyDescent="0.25">
      <c r="B647" s="1" t="s">
        <v>712</v>
      </c>
    </row>
    <row r="648" spans="2:2" x14ac:dyDescent="0.25">
      <c r="B648" s="1" t="s">
        <v>713</v>
      </c>
    </row>
    <row r="649" spans="2:2" x14ac:dyDescent="0.25">
      <c r="B649" s="1" t="s">
        <v>714</v>
      </c>
    </row>
    <row r="650" spans="2:2" x14ac:dyDescent="0.25">
      <c r="B650" s="1" t="s">
        <v>715</v>
      </c>
    </row>
    <row r="651" spans="2:2" x14ac:dyDescent="0.25">
      <c r="B651" s="1" t="s">
        <v>716</v>
      </c>
    </row>
    <row r="652" spans="2:2" x14ac:dyDescent="0.25">
      <c r="B652" s="1" t="s">
        <v>717</v>
      </c>
    </row>
    <row r="653" spans="2:2" x14ac:dyDescent="0.25">
      <c r="B653" s="1" t="s">
        <v>718</v>
      </c>
    </row>
    <row r="654" spans="2:2" x14ac:dyDescent="0.25">
      <c r="B654" s="1" t="s">
        <v>719</v>
      </c>
    </row>
    <row r="655" spans="2:2" x14ac:dyDescent="0.25">
      <c r="B655" s="1" t="s">
        <v>720</v>
      </c>
    </row>
    <row r="656" spans="2:2" x14ac:dyDescent="0.25">
      <c r="B656" s="1" t="s">
        <v>721</v>
      </c>
    </row>
    <row r="657" spans="2:2" x14ac:dyDescent="0.25">
      <c r="B657" s="1" t="s">
        <v>722</v>
      </c>
    </row>
    <row r="658" spans="2:2" x14ac:dyDescent="0.25">
      <c r="B658" s="1" t="s">
        <v>723</v>
      </c>
    </row>
    <row r="659" spans="2:2" x14ac:dyDescent="0.25">
      <c r="B659" s="1" t="s">
        <v>724</v>
      </c>
    </row>
    <row r="660" spans="2:2" x14ac:dyDescent="0.25">
      <c r="B660" s="1" t="s">
        <v>725</v>
      </c>
    </row>
    <row r="661" spans="2:2" x14ac:dyDescent="0.25">
      <c r="B661" s="1" t="s">
        <v>726</v>
      </c>
    </row>
    <row r="662" spans="2:2" x14ac:dyDescent="0.25">
      <c r="B662" s="1" t="s">
        <v>727</v>
      </c>
    </row>
    <row r="663" spans="2:2" x14ac:dyDescent="0.25">
      <c r="B663" s="1" t="s">
        <v>728</v>
      </c>
    </row>
    <row r="664" spans="2:2" x14ac:dyDescent="0.25">
      <c r="B664" s="1" t="s">
        <v>729</v>
      </c>
    </row>
    <row r="665" spans="2:2" x14ac:dyDescent="0.25">
      <c r="B665" s="1" t="s">
        <v>730</v>
      </c>
    </row>
    <row r="666" spans="2:2" ht="30" x14ac:dyDescent="0.25">
      <c r="B666" s="1" t="s">
        <v>732</v>
      </c>
    </row>
    <row r="667" spans="2:2" ht="30" x14ac:dyDescent="0.25">
      <c r="B667" s="1" t="s">
        <v>733</v>
      </c>
    </row>
    <row r="668" spans="2:2" ht="30" x14ac:dyDescent="0.25">
      <c r="B668" s="1" t="s">
        <v>734</v>
      </c>
    </row>
    <row r="669" spans="2:2" x14ac:dyDescent="0.25">
      <c r="B669" s="1" t="s">
        <v>731</v>
      </c>
    </row>
    <row r="670" spans="2:2" x14ac:dyDescent="0.25">
      <c r="B670" s="1" t="s">
        <v>735</v>
      </c>
    </row>
    <row r="671" spans="2:2" x14ac:dyDescent="0.25">
      <c r="B671" s="1" t="s">
        <v>736</v>
      </c>
    </row>
    <row r="672" spans="2:2" ht="30" x14ac:dyDescent="0.25">
      <c r="B672" s="1" t="s">
        <v>737</v>
      </c>
    </row>
    <row r="673" spans="2:2" ht="30" x14ac:dyDescent="0.25">
      <c r="B673" s="1" t="s">
        <v>738</v>
      </c>
    </row>
    <row r="674" spans="2:2" x14ac:dyDescent="0.25">
      <c r="B674" s="1" t="s">
        <v>739</v>
      </c>
    </row>
    <row r="675" spans="2:2" x14ac:dyDescent="0.25">
      <c r="B675" s="1" t="s">
        <v>740</v>
      </c>
    </row>
    <row r="676" spans="2:2" x14ac:dyDescent="0.25">
      <c r="B676" s="1" t="s">
        <v>741</v>
      </c>
    </row>
    <row r="677" spans="2:2" x14ac:dyDescent="0.25">
      <c r="B677" s="1" t="s">
        <v>742</v>
      </c>
    </row>
    <row r="678" spans="2:2" x14ac:dyDescent="0.25">
      <c r="B678" s="1" t="s">
        <v>743</v>
      </c>
    </row>
    <row r="679" spans="2:2" ht="30" x14ac:dyDescent="0.25">
      <c r="B679" s="1" t="s">
        <v>744</v>
      </c>
    </row>
    <row r="680" spans="2:2" x14ac:dyDescent="0.25">
      <c r="B680" s="1" t="s">
        <v>745</v>
      </c>
    </row>
    <row r="681" spans="2:2" ht="30" x14ac:dyDescent="0.25">
      <c r="B681" s="1" t="s">
        <v>746</v>
      </c>
    </row>
    <row r="682" spans="2:2" x14ac:dyDescent="0.25">
      <c r="B682" s="1" t="s">
        <v>747</v>
      </c>
    </row>
    <row r="683" spans="2:2" x14ac:dyDescent="0.25">
      <c r="B683" s="1" t="s">
        <v>748</v>
      </c>
    </row>
    <row r="684" spans="2:2" ht="30" x14ac:dyDescent="0.25">
      <c r="B684" s="1" t="s">
        <v>749</v>
      </c>
    </row>
    <row r="685" spans="2:2" x14ac:dyDescent="0.25">
      <c r="B685" s="1" t="s">
        <v>750</v>
      </c>
    </row>
    <row r="686" spans="2:2" x14ac:dyDescent="0.25">
      <c r="B686" s="1" t="s">
        <v>751</v>
      </c>
    </row>
    <row r="687" spans="2:2" x14ac:dyDescent="0.25">
      <c r="B687" s="1" t="s">
        <v>752</v>
      </c>
    </row>
    <row r="688" spans="2:2" x14ac:dyDescent="0.25">
      <c r="B688" s="1" t="s">
        <v>753</v>
      </c>
    </row>
    <row r="689" spans="2:2" x14ac:dyDescent="0.25">
      <c r="B689" s="1" t="s">
        <v>754</v>
      </c>
    </row>
    <row r="690" spans="2:2" x14ac:dyDescent="0.25">
      <c r="B690" s="1" t="s">
        <v>755</v>
      </c>
    </row>
    <row r="691" spans="2:2" ht="30" x14ac:dyDescent="0.25">
      <c r="B691" s="1" t="s">
        <v>756</v>
      </c>
    </row>
    <row r="692" spans="2:2" x14ac:dyDescent="0.25">
      <c r="B692" s="1" t="s">
        <v>757</v>
      </c>
    </row>
    <row r="693" spans="2:2" x14ac:dyDescent="0.25">
      <c r="B693" s="1" t="s">
        <v>758</v>
      </c>
    </row>
    <row r="694" spans="2:2" x14ac:dyDescent="0.25">
      <c r="B694" s="1" t="s">
        <v>759</v>
      </c>
    </row>
    <row r="695" spans="2:2" x14ac:dyDescent="0.25">
      <c r="B695" s="1" t="s">
        <v>760</v>
      </c>
    </row>
    <row r="696" spans="2:2" ht="30" x14ac:dyDescent="0.25">
      <c r="B696" s="1" t="s">
        <v>761</v>
      </c>
    </row>
    <row r="697" spans="2:2" x14ac:dyDescent="0.25">
      <c r="B697" s="1" t="s">
        <v>762</v>
      </c>
    </row>
    <row r="698" spans="2:2" x14ac:dyDescent="0.25">
      <c r="B698" s="1" t="s">
        <v>763</v>
      </c>
    </row>
    <row r="699" spans="2:2" x14ac:dyDescent="0.25">
      <c r="B699" s="1" t="s">
        <v>764</v>
      </c>
    </row>
    <row r="700" spans="2:2" ht="30" x14ac:dyDescent="0.25">
      <c r="B700" s="1" t="s">
        <v>765</v>
      </c>
    </row>
    <row r="701" spans="2:2" ht="30" x14ac:dyDescent="0.25">
      <c r="B701" s="1" t="s">
        <v>766</v>
      </c>
    </row>
    <row r="702" spans="2:2" ht="30" x14ac:dyDescent="0.25">
      <c r="B702" s="1" t="s">
        <v>767</v>
      </c>
    </row>
    <row r="703" spans="2:2" ht="30" x14ac:dyDescent="0.25">
      <c r="B703" s="1" t="s">
        <v>768</v>
      </c>
    </row>
    <row r="704" spans="2:2" ht="30" x14ac:dyDescent="0.25">
      <c r="B704" s="1" t="s">
        <v>769</v>
      </c>
    </row>
    <row r="705" spans="2:2" ht="30" x14ac:dyDescent="0.25">
      <c r="B705" s="1" t="s">
        <v>770</v>
      </c>
    </row>
    <row r="706" spans="2:2" ht="30" x14ac:dyDescent="0.25">
      <c r="B706" s="1" t="s">
        <v>771</v>
      </c>
    </row>
    <row r="707" spans="2:2" ht="30" x14ac:dyDescent="0.25">
      <c r="B707" s="1" t="s">
        <v>772</v>
      </c>
    </row>
    <row r="708" spans="2:2" x14ac:dyDescent="0.25">
      <c r="B708" s="1" t="s">
        <v>773</v>
      </c>
    </row>
    <row r="709" spans="2:2" x14ac:dyDescent="0.25">
      <c r="B709" s="1" t="s">
        <v>774</v>
      </c>
    </row>
    <row r="710" spans="2:2" x14ac:dyDescent="0.25">
      <c r="B710" s="1" t="s">
        <v>775</v>
      </c>
    </row>
    <row r="711" spans="2:2" x14ac:dyDescent="0.25">
      <c r="B711" s="1" t="s">
        <v>776</v>
      </c>
    </row>
    <row r="712" spans="2:2" ht="30" x14ac:dyDescent="0.25">
      <c r="B712" s="1" t="s">
        <v>777</v>
      </c>
    </row>
    <row r="713" spans="2:2" ht="30" x14ac:dyDescent="0.25">
      <c r="B713" s="1" t="s">
        <v>778</v>
      </c>
    </row>
    <row r="714" spans="2:2" x14ac:dyDescent="0.25">
      <c r="B714" s="1" t="s">
        <v>779</v>
      </c>
    </row>
    <row r="715" spans="2:2" ht="30" x14ac:dyDescent="0.25">
      <c r="B715" s="1" t="s">
        <v>781</v>
      </c>
    </row>
    <row r="716" spans="2:2" ht="30" x14ac:dyDescent="0.25">
      <c r="B716" s="1" t="s">
        <v>782</v>
      </c>
    </row>
    <row r="717" spans="2:2" ht="30" x14ac:dyDescent="0.25">
      <c r="B717" s="1" t="s">
        <v>783</v>
      </c>
    </row>
    <row r="718" spans="2:2" x14ac:dyDescent="0.25">
      <c r="B718" s="1" t="s">
        <v>780</v>
      </c>
    </row>
    <row r="719" spans="2:2" ht="30" x14ac:dyDescent="0.25">
      <c r="B719" s="1" t="s">
        <v>785</v>
      </c>
    </row>
    <row r="720" spans="2:2" x14ac:dyDescent="0.25">
      <c r="B720" s="1" t="s">
        <v>786</v>
      </c>
    </row>
    <row r="721" spans="2:2" x14ac:dyDescent="0.25">
      <c r="B721" s="1" t="s">
        <v>784</v>
      </c>
    </row>
    <row r="722" spans="2:2" ht="30" x14ac:dyDescent="0.25">
      <c r="B722" s="1" t="s">
        <v>787</v>
      </c>
    </row>
    <row r="723" spans="2:2" x14ac:dyDescent="0.25">
      <c r="B723" s="1" t="s">
        <v>788</v>
      </c>
    </row>
    <row r="724" spans="2:2" ht="30" x14ac:dyDescent="0.25">
      <c r="B724" s="1" t="s">
        <v>789</v>
      </c>
    </row>
    <row r="725" spans="2:2" ht="30" x14ac:dyDescent="0.25">
      <c r="B725" s="1" t="s">
        <v>790</v>
      </c>
    </row>
    <row r="726" spans="2:2" ht="30" x14ac:dyDescent="0.25">
      <c r="B726" s="1" t="s">
        <v>791</v>
      </c>
    </row>
    <row r="727" spans="2:2" x14ac:dyDescent="0.25">
      <c r="B727" s="1" t="s">
        <v>792</v>
      </c>
    </row>
    <row r="728" spans="2:2" ht="30" x14ac:dyDescent="0.25">
      <c r="B728" s="1" t="s">
        <v>793</v>
      </c>
    </row>
    <row r="729" spans="2:2" x14ac:dyDescent="0.25">
      <c r="B729" s="1" t="s">
        <v>794</v>
      </c>
    </row>
    <row r="730" spans="2:2" x14ac:dyDescent="0.25">
      <c r="B730" s="1" t="s">
        <v>795</v>
      </c>
    </row>
    <row r="731" spans="2:2" x14ac:dyDescent="0.25">
      <c r="B731" s="1" t="s">
        <v>796</v>
      </c>
    </row>
    <row r="732" spans="2:2" x14ac:dyDescent="0.25">
      <c r="B732" s="1" t="s">
        <v>797</v>
      </c>
    </row>
    <row r="733" spans="2:2" x14ac:dyDescent="0.25">
      <c r="B733" s="1" t="s">
        <v>798</v>
      </c>
    </row>
    <row r="734" spans="2:2" ht="30" x14ac:dyDescent="0.25">
      <c r="B734" s="1" t="s">
        <v>799</v>
      </c>
    </row>
    <row r="735" spans="2:2" ht="30" x14ac:dyDescent="0.25">
      <c r="B735" s="1" t="s">
        <v>800</v>
      </c>
    </row>
    <row r="736" spans="2:2" x14ac:dyDescent="0.25">
      <c r="B736" s="1" t="s">
        <v>801</v>
      </c>
    </row>
    <row r="737" spans="2:2" x14ac:dyDescent="0.25">
      <c r="B737" s="1" t="s">
        <v>802</v>
      </c>
    </row>
    <row r="738" spans="2:2" x14ac:dyDescent="0.25">
      <c r="B738" s="1" t="s">
        <v>803</v>
      </c>
    </row>
    <row r="739" spans="2:2" x14ac:dyDescent="0.25">
      <c r="B739" s="1" t="s">
        <v>804</v>
      </c>
    </row>
    <row r="740" spans="2:2" x14ac:dyDescent="0.25">
      <c r="B740" s="1" t="s">
        <v>805</v>
      </c>
    </row>
    <row r="741" spans="2:2" x14ac:dyDescent="0.25">
      <c r="B741" s="1" t="s">
        <v>806</v>
      </c>
    </row>
    <row r="742" spans="2:2" x14ac:dyDescent="0.25">
      <c r="B742" s="1" t="s">
        <v>807</v>
      </c>
    </row>
    <row r="743" spans="2:2" x14ac:dyDescent="0.25">
      <c r="B743" s="1" t="s">
        <v>808</v>
      </c>
    </row>
    <row r="744" spans="2:2" x14ac:dyDescent="0.25">
      <c r="B744" s="1" t="s">
        <v>809</v>
      </c>
    </row>
    <row r="745" spans="2:2" x14ac:dyDescent="0.25">
      <c r="B745" s="1" t="s">
        <v>810</v>
      </c>
    </row>
    <row r="746" spans="2:2" x14ac:dyDescent="0.25">
      <c r="B746" s="1" t="s">
        <v>811</v>
      </c>
    </row>
    <row r="747" spans="2:2" x14ac:dyDescent="0.25">
      <c r="B747" s="1" t="s">
        <v>812</v>
      </c>
    </row>
    <row r="748" spans="2:2" x14ac:dyDescent="0.25">
      <c r="B748" s="1" t="s">
        <v>813</v>
      </c>
    </row>
    <row r="749" spans="2:2" x14ac:dyDescent="0.25">
      <c r="B749" s="1" t="s">
        <v>814</v>
      </c>
    </row>
    <row r="750" spans="2:2" ht="30" x14ac:dyDescent="0.25">
      <c r="B750" s="1" t="s">
        <v>815</v>
      </c>
    </row>
    <row r="751" spans="2:2" x14ac:dyDescent="0.25">
      <c r="B751" s="1" t="s">
        <v>816</v>
      </c>
    </row>
    <row r="752" spans="2:2" x14ac:dyDescent="0.25">
      <c r="B752" s="1" t="s">
        <v>817</v>
      </c>
    </row>
    <row r="753" spans="2:2" x14ac:dyDescent="0.25">
      <c r="B753" s="1" t="s">
        <v>818</v>
      </c>
    </row>
    <row r="754" spans="2:2" x14ac:dyDescent="0.25">
      <c r="B754" s="1" t="s">
        <v>819</v>
      </c>
    </row>
    <row r="755" spans="2:2" x14ac:dyDescent="0.25">
      <c r="B755" s="1" t="s">
        <v>820</v>
      </c>
    </row>
    <row r="756" spans="2:2" x14ac:dyDescent="0.25">
      <c r="B756" s="1" t="s">
        <v>821</v>
      </c>
    </row>
    <row r="757" spans="2:2" x14ac:dyDescent="0.25">
      <c r="B757" s="1" t="s">
        <v>822</v>
      </c>
    </row>
    <row r="758" spans="2:2" ht="30" x14ac:dyDescent="0.25">
      <c r="B758" s="1" t="s">
        <v>823</v>
      </c>
    </row>
    <row r="759" spans="2:2" ht="30" x14ac:dyDescent="0.25">
      <c r="B759" s="1" t="s">
        <v>824</v>
      </c>
    </row>
    <row r="760" spans="2:2" x14ac:dyDescent="0.25">
      <c r="B760" s="1" t="s">
        <v>825</v>
      </c>
    </row>
    <row r="761" spans="2:2" ht="30" x14ac:dyDescent="0.25">
      <c r="B761" s="1" t="s">
        <v>826</v>
      </c>
    </row>
    <row r="762" spans="2:2" ht="30" x14ac:dyDescent="0.25">
      <c r="B762" s="1" t="s">
        <v>827</v>
      </c>
    </row>
    <row r="763" spans="2:2" ht="30" x14ac:dyDescent="0.25">
      <c r="B763" s="1" t="s">
        <v>828</v>
      </c>
    </row>
    <row r="764" spans="2:2" ht="30" x14ac:dyDescent="0.25">
      <c r="B764" s="1" t="s">
        <v>829</v>
      </c>
    </row>
    <row r="765" spans="2:2" ht="30" x14ac:dyDescent="0.25">
      <c r="B765" s="1" t="s">
        <v>830</v>
      </c>
    </row>
    <row r="766" spans="2:2" x14ac:dyDescent="0.25">
      <c r="B766" s="1" t="s">
        <v>831</v>
      </c>
    </row>
    <row r="767" spans="2:2" x14ac:dyDescent="0.25">
      <c r="B767" s="1" t="s">
        <v>832</v>
      </c>
    </row>
    <row r="768" spans="2:2" x14ac:dyDescent="0.25">
      <c r="B768" s="1" t="s">
        <v>833</v>
      </c>
    </row>
    <row r="769" spans="2:2" x14ac:dyDescent="0.25">
      <c r="B769" s="1" t="s">
        <v>834</v>
      </c>
    </row>
    <row r="770" spans="2:2" x14ac:dyDescent="0.25">
      <c r="B770" s="1" t="s">
        <v>835</v>
      </c>
    </row>
    <row r="771" spans="2:2" x14ac:dyDescent="0.25">
      <c r="B771" s="1" t="s">
        <v>836</v>
      </c>
    </row>
    <row r="772" spans="2:2" x14ac:dyDescent="0.25">
      <c r="B772" s="1" t="s">
        <v>837</v>
      </c>
    </row>
    <row r="773" spans="2:2" x14ac:dyDescent="0.25">
      <c r="B773" s="1" t="s">
        <v>838</v>
      </c>
    </row>
    <row r="774" spans="2:2" x14ac:dyDescent="0.25">
      <c r="B774" s="1" t="s">
        <v>839</v>
      </c>
    </row>
    <row r="775" spans="2:2" x14ac:dyDescent="0.25">
      <c r="B775" s="1" t="s">
        <v>840</v>
      </c>
    </row>
    <row r="776" spans="2:2" x14ac:dyDescent="0.25">
      <c r="B776" s="1" t="s">
        <v>841</v>
      </c>
    </row>
    <row r="777" spans="2:2" x14ac:dyDescent="0.25">
      <c r="B777" s="1" t="s">
        <v>842</v>
      </c>
    </row>
    <row r="778" spans="2:2" ht="30" x14ac:dyDescent="0.25">
      <c r="B778" s="1" t="s">
        <v>843</v>
      </c>
    </row>
    <row r="779" spans="2:2" x14ac:dyDescent="0.25">
      <c r="B779" s="1" t="s">
        <v>844</v>
      </c>
    </row>
    <row r="780" spans="2:2" x14ac:dyDescent="0.25">
      <c r="B780" s="1" t="s">
        <v>845</v>
      </c>
    </row>
    <row r="781" spans="2:2" x14ac:dyDescent="0.25">
      <c r="B781" s="1" t="s">
        <v>846</v>
      </c>
    </row>
    <row r="782" spans="2:2" x14ac:dyDescent="0.25">
      <c r="B782" s="1" t="s">
        <v>847</v>
      </c>
    </row>
    <row r="783" spans="2:2" x14ac:dyDescent="0.25">
      <c r="B783" s="1" t="s">
        <v>848</v>
      </c>
    </row>
    <row r="784" spans="2:2" x14ac:dyDescent="0.25">
      <c r="B784" s="1" t="s">
        <v>849</v>
      </c>
    </row>
    <row r="785" spans="2:2" x14ac:dyDescent="0.25">
      <c r="B785" s="1" t="s">
        <v>850</v>
      </c>
    </row>
    <row r="786" spans="2:2" x14ac:dyDescent="0.25">
      <c r="B786" s="1" t="s">
        <v>851</v>
      </c>
    </row>
    <row r="787" spans="2:2" x14ac:dyDescent="0.25">
      <c r="B787" s="1" t="s">
        <v>852</v>
      </c>
    </row>
    <row r="788" spans="2:2" x14ac:dyDescent="0.25">
      <c r="B788" s="1" t="s">
        <v>853</v>
      </c>
    </row>
    <row r="789" spans="2:2" ht="30" x14ac:dyDescent="0.25">
      <c r="B789" s="1" t="s">
        <v>854</v>
      </c>
    </row>
    <row r="790" spans="2:2" x14ac:dyDescent="0.25">
      <c r="B790" s="1" t="s">
        <v>855</v>
      </c>
    </row>
    <row r="791" spans="2:2" x14ac:dyDescent="0.25">
      <c r="B791" s="1" t="s">
        <v>856</v>
      </c>
    </row>
    <row r="792" spans="2:2" x14ac:dyDescent="0.25">
      <c r="B792" s="1" t="s">
        <v>857</v>
      </c>
    </row>
    <row r="793" spans="2:2" x14ac:dyDescent="0.25">
      <c r="B793" s="1" t="s">
        <v>858</v>
      </c>
    </row>
    <row r="794" spans="2:2" x14ac:dyDescent="0.25">
      <c r="B794" s="1" t="s">
        <v>859</v>
      </c>
    </row>
    <row r="795" spans="2:2" x14ac:dyDescent="0.25">
      <c r="B795" s="1" t="s">
        <v>860</v>
      </c>
    </row>
    <row r="796" spans="2:2" x14ac:dyDescent="0.25">
      <c r="B796" s="1" t="s">
        <v>861</v>
      </c>
    </row>
    <row r="797" spans="2:2" x14ac:dyDescent="0.25">
      <c r="B797" s="1" t="s">
        <v>862</v>
      </c>
    </row>
    <row r="798" spans="2:2" x14ac:dyDescent="0.25">
      <c r="B798" s="1" t="s">
        <v>863</v>
      </c>
    </row>
    <row r="799" spans="2:2" x14ac:dyDescent="0.25">
      <c r="B799" s="1" t="s">
        <v>864</v>
      </c>
    </row>
    <row r="800" spans="2:2" x14ac:dyDescent="0.25">
      <c r="B800" s="1" t="s">
        <v>865</v>
      </c>
    </row>
    <row r="801" spans="2:2" x14ac:dyDescent="0.25">
      <c r="B801" s="1" t="s">
        <v>866</v>
      </c>
    </row>
    <row r="802" spans="2:2" x14ac:dyDescent="0.25">
      <c r="B802" s="1" t="s">
        <v>867</v>
      </c>
    </row>
    <row r="803" spans="2:2" x14ac:dyDescent="0.25">
      <c r="B803" s="1" t="s">
        <v>868</v>
      </c>
    </row>
    <row r="804" spans="2:2" x14ac:dyDescent="0.25">
      <c r="B804" s="1" t="s">
        <v>869</v>
      </c>
    </row>
    <row r="805" spans="2:2" x14ac:dyDescent="0.25">
      <c r="B805" s="1" t="s">
        <v>870</v>
      </c>
    </row>
    <row r="806" spans="2:2" x14ac:dyDescent="0.25">
      <c r="B806" s="1" t="s">
        <v>871</v>
      </c>
    </row>
    <row r="807" spans="2:2" x14ac:dyDescent="0.25">
      <c r="B807" s="1" t="s">
        <v>872</v>
      </c>
    </row>
    <row r="808" spans="2:2" x14ac:dyDescent="0.25">
      <c r="B808" s="1" t="s">
        <v>873</v>
      </c>
    </row>
    <row r="809" spans="2:2" x14ac:dyDescent="0.25">
      <c r="B809" s="1" t="s">
        <v>874</v>
      </c>
    </row>
    <row r="810" spans="2:2" x14ac:dyDescent="0.25">
      <c r="B810" s="1" t="s">
        <v>875</v>
      </c>
    </row>
    <row r="811" spans="2:2" x14ac:dyDescent="0.25">
      <c r="B811" s="1" t="s">
        <v>876</v>
      </c>
    </row>
    <row r="812" spans="2:2" x14ac:dyDescent="0.25">
      <c r="B812" s="1" t="s">
        <v>877</v>
      </c>
    </row>
    <row r="813" spans="2:2" x14ac:dyDescent="0.25">
      <c r="B813" s="1" t="s">
        <v>878</v>
      </c>
    </row>
    <row r="814" spans="2:2" x14ac:dyDescent="0.25">
      <c r="B814" s="1" t="s">
        <v>879</v>
      </c>
    </row>
    <row r="815" spans="2:2" x14ac:dyDescent="0.25">
      <c r="B815" s="1" t="s">
        <v>880</v>
      </c>
    </row>
    <row r="816" spans="2:2" x14ac:dyDescent="0.25">
      <c r="B816" s="1" t="s">
        <v>881</v>
      </c>
    </row>
    <row r="817" spans="2:2" x14ac:dyDescent="0.25">
      <c r="B817" s="1" t="s">
        <v>882</v>
      </c>
    </row>
    <row r="818" spans="2:2" x14ac:dyDescent="0.25">
      <c r="B818" s="1" t="s">
        <v>883</v>
      </c>
    </row>
    <row r="819" spans="2:2" x14ac:dyDescent="0.25">
      <c r="B819" s="1" t="s">
        <v>884</v>
      </c>
    </row>
    <row r="820" spans="2:2" x14ac:dyDescent="0.25">
      <c r="B820" s="1" t="s">
        <v>885</v>
      </c>
    </row>
    <row r="821" spans="2:2" x14ac:dyDescent="0.25">
      <c r="B821" s="1" t="s">
        <v>886</v>
      </c>
    </row>
    <row r="822" spans="2:2" x14ac:dyDescent="0.25">
      <c r="B822" s="1" t="s">
        <v>887</v>
      </c>
    </row>
    <row r="823" spans="2:2" x14ac:dyDescent="0.25">
      <c r="B823" s="1" t="s">
        <v>888</v>
      </c>
    </row>
    <row r="824" spans="2:2" x14ac:dyDescent="0.25">
      <c r="B824" s="1" t="s">
        <v>889</v>
      </c>
    </row>
    <row r="825" spans="2:2" x14ac:dyDescent="0.25">
      <c r="B825" s="1" t="s">
        <v>890</v>
      </c>
    </row>
    <row r="826" spans="2:2" x14ac:dyDescent="0.25">
      <c r="B826" s="1" t="s">
        <v>891</v>
      </c>
    </row>
    <row r="827" spans="2:2" x14ac:dyDescent="0.25">
      <c r="B827" s="1" t="s">
        <v>892</v>
      </c>
    </row>
    <row r="828" spans="2:2" x14ac:dyDescent="0.25">
      <c r="B828" s="1" t="s">
        <v>893</v>
      </c>
    </row>
    <row r="829" spans="2:2" x14ac:dyDescent="0.25">
      <c r="B829" s="1" t="s">
        <v>894</v>
      </c>
    </row>
    <row r="830" spans="2:2" x14ac:dyDescent="0.25">
      <c r="B830" s="1" t="s">
        <v>895</v>
      </c>
    </row>
    <row r="831" spans="2:2" x14ac:dyDescent="0.25">
      <c r="B831" s="1" t="s">
        <v>896</v>
      </c>
    </row>
    <row r="832" spans="2:2" x14ac:dyDescent="0.25">
      <c r="B832" s="1" t="s">
        <v>897</v>
      </c>
    </row>
    <row r="833" spans="2:2" x14ac:dyDescent="0.25">
      <c r="B833" s="1" t="s">
        <v>898</v>
      </c>
    </row>
    <row r="834" spans="2:2" x14ac:dyDescent="0.25">
      <c r="B834" s="1" t="s">
        <v>899</v>
      </c>
    </row>
    <row r="835" spans="2:2" x14ac:dyDescent="0.25">
      <c r="B835" s="1" t="s">
        <v>900</v>
      </c>
    </row>
    <row r="836" spans="2:2" ht="30" x14ac:dyDescent="0.25">
      <c r="B836" s="1" t="s">
        <v>901</v>
      </c>
    </row>
    <row r="837" spans="2:2" x14ac:dyDescent="0.25">
      <c r="B837" s="1" t="s">
        <v>902</v>
      </c>
    </row>
    <row r="838" spans="2:2" x14ac:dyDescent="0.25">
      <c r="B838" s="1" t="s">
        <v>903</v>
      </c>
    </row>
    <row r="839" spans="2:2" x14ac:dyDescent="0.25">
      <c r="B839" s="1" t="s">
        <v>904</v>
      </c>
    </row>
    <row r="840" spans="2:2" x14ac:dyDescent="0.25">
      <c r="B840" s="1" t="s">
        <v>905</v>
      </c>
    </row>
    <row r="841" spans="2:2" x14ac:dyDescent="0.25">
      <c r="B841" s="1" t="s">
        <v>906</v>
      </c>
    </row>
    <row r="842" spans="2:2" x14ac:dyDescent="0.25">
      <c r="B842" s="1" t="s">
        <v>907</v>
      </c>
    </row>
    <row r="843" spans="2:2" x14ac:dyDescent="0.25">
      <c r="B843" s="1" t="s">
        <v>908</v>
      </c>
    </row>
    <row r="844" spans="2:2" x14ac:dyDescent="0.25">
      <c r="B844" s="1" t="s">
        <v>909</v>
      </c>
    </row>
    <row r="845" spans="2:2" x14ac:dyDescent="0.25">
      <c r="B845" s="1" t="s">
        <v>910</v>
      </c>
    </row>
    <row r="846" spans="2:2" x14ac:dyDescent="0.25">
      <c r="B846" s="1" t="s">
        <v>911</v>
      </c>
    </row>
    <row r="847" spans="2:2" x14ac:dyDescent="0.25">
      <c r="B847" s="1" t="s">
        <v>912</v>
      </c>
    </row>
    <row r="848" spans="2:2" x14ac:dyDescent="0.25">
      <c r="B848" s="1" t="s">
        <v>913</v>
      </c>
    </row>
    <row r="849" spans="2:2" x14ac:dyDescent="0.25">
      <c r="B849" s="1" t="s">
        <v>914</v>
      </c>
    </row>
    <row r="850" spans="2:2" x14ac:dyDescent="0.25">
      <c r="B850" s="1" t="s">
        <v>915</v>
      </c>
    </row>
    <row r="851" spans="2:2" x14ac:dyDescent="0.25">
      <c r="B851" s="1" t="s">
        <v>916</v>
      </c>
    </row>
    <row r="852" spans="2:2" x14ac:dyDescent="0.25">
      <c r="B852" s="1" t="s">
        <v>917</v>
      </c>
    </row>
    <row r="853" spans="2:2" ht="30" x14ac:dyDescent="0.25">
      <c r="B853" s="1" t="s">
        <v>918</v>
      </c>
    </row>
    <row r="854" spans="2:2" x14ac:dyDescent="0.25">
      <c r="B854" s="1" t="s">
        <v>919</v>
      </c>
    </row>
    <row r="855" spans="2:2" x14ac:dyDescent="0.25">
      <c r="B855" s="1" t="s">
        <v>920</v>
      </c>
    </row>
  </sheetData>
  <sheetProtection algorithmName="SHA-512" hashValue="0G625U/wxieXIJzcQwlENEwL3kI4OczAmqgeX575Wek4FuNIFopGrehDezK/wbtRzBNvZ+ahfm5/SWJdQMAg+A==" saltValue="dvEiBsywCuZ8FyPd3EvriQ==" spinCount="100000" sheet="1" objects="1" scenarios="1" selectLockedCells="1" selectUnlockedCells="1"/>
  <sortState ref="M3:M9">
    <sortCondition ref="M3"/>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Formulário Cadastro</vt:lpstr>
      <vt:lpstr>Formulário Preenchido</vt:lpstr>
      <vt:lpstr>Formulário Impressão</vt:lpstr>
      <vt:lpstr>Calculadora Geográfica</vt:lpstr>
      <vt:lpstr>Obtenção UPGRH</vt:lpstr>
      <vt:lpstr>Classificação</vt:lpstr>
      <vt:lpstr>Seleção</vt:lpstr>
      <vt:lpstr>'Formulário Impressão'!Area_de_impressao</vt:lpstr>
      <vt:lpstr>'Formulário Impressão'!Titulos_de_impressao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Moreira de Souza Junior</dc:creator>
  <cp:lastModifiedBy>User</cp:lastModifiedBy>
  <cp:lastPrinted>2024-08-06T17:08:05Z</cp:lastPrinted>
  <dcterms:created xsi:type="dcterms:W3CDTF">2018-05-02T11:27:51Z</dcterms:created>
  <dcterms:modified xsi:type="dcterms:W3CDTF">2024-11-06T17:14:59Z</dcterms:modified>
</cp:coreProperties>
</file>